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dnekv\Desktop\EDPV\CWC\Treasurer Docs\"/>
    </mc:Choice>
  </mc:AlternateContent>
  <bookViews>
    <workbookView xWindow="15825" yWindow="675" windowWidth="12360" windowHeight="10890" tabRatio="753" firstSheet="7" activeTab="7"/>
  </bookViews>
  <sheets>
    <sheet name="Fund Balance Start" sheetId="2" r:id="rId1"/>
    <sheet name="Preparation Directions" sheetId="5" r:id="rId2"/>
    <sheet name="Rev Projections" sheetId="1" r:id="rId3"/>
    <sheet name="Expense Scenarios" sheetId="4" r:id="rId4"/>
    <sheet name="Available to Spend FY19" sheetId="3" r:id="rId5"/>
    <sheet name="Available to Spend FY20" sheetId="10" r:id="rId6"/>
    <sheet name="Available to Spend FY21" sheetId="14" r:id="rId7"/>
    <sheet name="Available to Spend FY22" sheetId="16" r:id="rId8"/>
    <sheet name="R&amp;R Revenue Projections " sheetId="6" r:id="rId9"/>
    <sheet name="FY20 Estimated Expenditures" sheetId="11" r:id="rId10"/>
    <sheet name="FY21 Estimated Expenditures" sheetId="15" r:id="rId11"/>
    <sheet name="FY22 Estimated Expenditures" sheetId="17" r:id="rId12"/>
  </sheets>
  <externalReferences>
    <externalReference r:id="rId13"/>
  </externalReferences>
  <calcPr calcId="162913"/>
</workbook>
</file>

<file path=xl/calcChain.xml><?xml version="1.0" encoding="utf-8"?>
<calcChain xmlns="http://schemas.openxmlformats.org/spreadsheetml/2006/main">
  <c r="I10" i="16" l="1"/>
  <c r="I11" i="16" s="1"/>
  <c r="I12" i="16" s="1"/>
  <c r="I13" i="16" s="1"/>
  <c r="I14" i="16" s="1"/>
  <c r="I15" i="16" s="1"/>
  <c r="I16" i="16" s="1"/>
  <c r="H10" i="16"/>
  <c r="H11" i="16"/>
  <c r="H12" i="16"/>
  <c r="H13" i="16" s="1"/>
  <c r="H14" i="16" s="1"/>
  <c r="H15" i="16" s="1"/>
  <c r="H16" i="16" s="1"/>
  <c r="N41" i="15" l="1"/>
  <c r="N42" i="15"/>
  <c r="N43" i="15"/>
  <c r="N44" i="15"/>
  <c r="N45" i="15"/>
  <c r="N46" i="15"/>
  <c r="N47" i="15"/>
  <c r="N48" i="15"/>
  <c r="N49" i="15"/>
  <c r="N50" i="15"/>
  <c r="N51" i="15"/>
  <c r="N52" i="15"/>
  <c r="N40" i="15"/>
  <c r="L52" i="15"/>
  <c r="K52" i="15"/>
  <c r="J52" i="15"/>
  <c r="I52" i="15"/>
  <c r="H52" i="15"/>
  <c r="G52" i="15"/>
  <c r="F52" i="15"/>
  <c r="E52" i="15"/>
  <c r="D52" i="15"/>
  <c r="C52" i="15"/>
  <c r="D86" i="1" l="1"/>
  <c r="E86" i="1"/>
  <c r="C86" i="1"/>
  <c r="E75" i="1"/>
  <c r="E76" i="1"/>
  <c r="E77" i="1"/>
  <c r="E78" i="1"/>
  <c r="E79" i="1"/>
  <c r="E80" i="1"/>
  <c r="E81" i="1"/>
  <c r="E82" i="1"/>
  <c r="E83" i="1"/>
  <c r="E84" i="1"/>
  <c r="E85" i="1"/>
  <c r="E74" i="1"/>
  <c r="D76" i="1"/>
  <c r="D75" i="1"/>
  <c r="D74" i="1"/>
  <c r="N38" i="17" l="1"/>
  <c r="M38" i="17"/>
  <c r="P38" i="17"/>
  <c r="L38" i="17"/>
  <c r="K38" i="17"/>
  <c r="J38" i="17"/>
  <c r="I38" i="17"/>
  <c r="H38" i="17"/>
  <c r="G38" i="17"/>
  <c r="F38" i="17"/>
  <c r="E38" i="17"/>
  <c r="D38" i="17"/>
  <c r="C38" i="17"/>
  <c r="Q37" i="17"/>
  <c r="Q36" i="17"/>
  <c r="Q35" i="17"/>
  <c r="Q34" i="17"/>
  <c r="Q33" i="17"/>
  <c r="Q32" i="17"/>
  <c r="Q31" i="17"/>
  <c r="Q30" i="17"/>
  <c r="Q29" i="17"/>
  <c r="Q28" i="17"/>
  <c r="Q27" i="17"/>
  <c r="Q26" i="17"/>
  <c r="O38" i="17" l="1"/>
  <c r="Q38" i="17"/>
  <c r="K161" i="6"/>
  <c r="J161" i="6"/>
  <c r="I161" i="6"/>
  <c r="H161" i="6"/>
  <c r="G161" i="6"/>
  <c r="F161" i="6"/>
  <c r="E161" i="6"/>
  <c r="D161" i="6"/>
  <c r="C161" i="6"/>
  <c r="B161" i="6"/>
  <c r="L160" i="6"/>
  <c r="L159" i="6"/>
  <c r="L158" i="6"/>
  <c r="L157" i="6"/>
  <c r="L156" i="6"/>
  <c r="L155" i="6"/>
  <c r="L154" i="6"/>
  <c r="L153" i="6"/>
  <c r="L152" i="6"/>
  <c r="L151" i="6"/>
  <c r="L150" i="6"/>
  <c r="L149" i="6"/>
  <c r="L161" i="6" s="1"/>
  <c r="N144" i="6"/>
  <c r="L144" i="6"/>
  <c r="K144" i="6"/>
  <c r="J144" i="6"/>
  <c r="I144" i="6"/>
  <c r="H144" i="6"/>
  <c r="G144" i="6"/>
  <c r="F144" i="6"/>
  <c r="E144" i="6"/>
  <c r="D144" i="6"/>
  <c r="C144" i="6"/>
  <c r="M144" i="6" s="1"/>
  <c r="O143" i="6"/>
  <c r="O142" i="6"/>
  <c r="O141" i="6"/>
  <c r="O140" i="6"/>
  <c r="O139" i="6"/>
  <c r="O138" i="6"/>
  <c r="O137" i="6"/>
  <c r="O136" i="6"/>
  <c r="O135" i="6"/>
  <c r="O134" i="6"/>
  <c r="O133" i="6"/>
  <c r="O132" i="6"/>
  <c r="O144" i="6" s="1"/>
  <c r="K127" i="6"/>
  <c r="J127" i="6"/>
  <c r="I127" i="6"/>
  <c r="H127" i="6"/>
  <c r="G127" i="6"/>
  <c r="F127" i="6"/>
  <c r="E127" i="6"/>
  <c r="D127" i="6"/>
  <c r="C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27" i="6" s="1"/>
  <c r="K108" i="6"/>
  <c r="J108" i="6"/>
  <c r="I108" i="6"/>
  <c r="H108" i="6"/>
  <c r="G108" i="6"/>
  <c r="F108" i="6"/>
  <c r="E108" i="6"/>
  <c r="D108" i="6"/>
  <c r="C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108" i="6" s="1"/>
  <c r="M88" i="6"/>
  <c r="K88" i="6"/>
  <c r="J88" i="6"/>
  <c r="I88" i="6"/>
  <c r="H88" i="6"/>
  <c r="G88" i="6"/>
  <c r="F88" i="6"/>
  <c r="E88" i="6"/>
  <c r="D88" i="6"/>
  <c r="C88" i="6"/>
  <c r="L88" i="6" s="1"/>
  <c r="N87" i="6"/>
  <c r="N86" i="6"/>
  <c r="N85" i="6"/>
  <c r="N84" i="6"/>
  <c r="N83" i="6"/>
  <c r="N82" i="6"/>
  <c r="N81" i="6"/>
  <c r="N80" i="6"/>
  <c r="N79" i="6"/>
  <c r="N78" i="6"/>
  <c r="N77" i="6"/>
  <c r="N76" i="6"/>
  <c r="N88" i="6" s="1"/>
  <c r="I6" i="16" l="1"/>
  <c r="F22" i="16"/>
  <c r="E22" i="16"/>
  <c r="F20" i="16"/>
  <c r="E20" i="16"/>
  <c r="D20" i="16"/>
  <c r="D22" i="16" s="1"/>
  <c r="H8" i="16"/>
  <c r="H9" i="16" s="1"/>
  <c r="I7" i="16"/>
  <c r="I8" i="16" s="1"/>
  <c r="I9" i="16" l="1"/>
  <c r="G22" i="16"/>
  <c r="H21" i="16" l="1"/>
  <c r="I21" i="16"/>
  <c r="G9" i="14"/>
  <c r="G8" i="14"/>
  <c r="E10" i="14"/>
  <c r="E9" i="14"/>
  <c r="E8" i="14"/>
  <c r="I17" i="16" l="1"/>
  <c r="I18" i="16" s="1"/>
  <c r="I19" i="16" s="1"/>
  <c r="I22" i="16" s="1"/>
  <c r="H17" i="16"/>
  <c r="H18" i="16" s="1"/>
  <c r="H19" i="16" s="1"/>
  <c r="H22" i="16" s="1"/>
  <c r="L59" i="1"/>
  <c r="L60" i="1"/>
  <c r="L61" i="1"/>
  <c r="L62" i="1"/>
  <c r="L63" i="1"/>
  <c r="L64" i="1"/>
  <c r="L65" i="1"/>
  <c r="L66" i="1"/>
  <c r="L67" i="1"/>
  <c r="L68" i="1"/>
  <c r="L69" i="1"/>
  <c r="L58" i="1"/>
  <c r="J63" i="1"/>
  <c r="J72" i="1"/>
  <c r="J59" i="1"/>
  <c r="J60" i="1"/>
  <c r="J61" i="1"/>
  <c r="J62" i="1"/>
  <c r="J58" i="1"/>
  <c r="K72" i="1"/>
  <c r="I72" i="1"/>
  <c r="P14" i="1"/>
  <c r="N16" i="15"/>
  <c r="L16" i="15"/>
  <c r="K16" i="15"/>
  <c r="J16" i="15"/>
  <c r="I16" i="15"/>
  <c r="H16" i="15"/>
  <c r="G16" i="15"/>
  <c r="F16" i="15"/>
  <c r="E16" i="15"/>
  <c r="M16" i="15" s="1"/>
  <c r="D16" i="15"/>
  <c r="C16" i="15"/>
  <c r="O15" i="15"/>
  <c r="O14" i="15"/>
  <c r="O13" i="15"/>
  <c r="O12" i="15"/>
  <c r="O11" i="15"/>
  <c r="O10" i="15"/>
  <c r="O9" i="15"/>
  <c r="O8" i="15"/>
  <c r="O7" i="15"/>
  <c r="O6" i="15"/>
  <c r="O4" i="15"/>
  <c r="K33" i="15"/>
  <c r="J33" i="15"/>
  <c r="I33" i="15"/>
  <c r="H33" i="15"/>
  <c r="G33" i="15"/>
  <c r="F33" i="15"/>
  <c r="E33" i="15"/>
  <c r="D33" i="15"/>
  <c r="C33" i="15"/>
  <c r="B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72" i="1" l="1"/>
  <c r="O5" i="15"/>
  <c r="O16" i="15"/>
  <c r="L33" i="15"/>
  <c r="G22" i="14" l="1"/>
  <c r="E22" i="14"/>
  <c r="F20" i="14"/>
  <c r="E20" i="14"/>
  <c r="D20" i="14"/>
  <c r="H8" i="14"/>
  <c r="H9" i="14" s="1"/>
  <c r="H10" i="14" s="1"/>
  <c r="H11" i="14" s="1"/>
  <c r="H12" i="14" s="1"/>
  <c r="H13" i="14" s="1"/>
  <c r="H14" i="14" s="1"/>
  <c r="H15" i="14" s="1"/>
  <c r="H16" i="14" s="1"/>
  <c r="H17" i="14" s="1"/>
  <c r="H18" i="14" s="1"/>
  <c r="H19" i="14" s="1"/>
  <c r="H20" i="14" s="1"/>
  <c r="F22" i="14"/>
  <c r="I7" i="14"/>
  <c r="I6" i="14"/>
  <c r="I8" i="14" s="1"/>
  <c r="I9" i="14" s="1"/>
  <c r="I10" i="14" s="1"/>
  <c r="I11" i="14" s="1"/>
  <c r="I12" i="14" s="1"/>
  <c r="I13" i="14" s="1"/>
  <c r="I14" i="14" s="1"/>
  <c r="I15" i="14" s="1"/>
  <c r="I16" i="14" s="1"/>
  <c r="I17" i="14" s="1"/>
  <c r="I18" i="14" s="1"/>
  <c r="I19" i="14" s="1"/>
  <c r="G22" i="10"/>
  <c r="I18" i="10"/>
  <c r="I19" i="10" s="1"/>
  <c r="I16" i="10" l="1"/>
  <c r="I17" i="10" s="1"/>
  <c r="H16" i="10"/>
  <c r="H17" i="10" s="1"/>
  <c r="H18" i="10" s="1"/>
  <c r="H19" i="10" s="1"/>
  <c r="H15" i="10" l="1"/>
  <c r="C68" i="1"/>
  <c r="D66" i="1"/>
  <c r="E66" i="1" s="1"/>
  <c r="D65" i="1"/>
  <c r="D68" i="1" s="1"/>
  <c r="E56" i="1"/>
  <c r="E57" i="1"/>
  <c r="E58" i="1"/>
  <c r="E59" i="1"/>
  <c r="E60" i="1"/>
  <c r="E61" i="1"/>
  <c r="E62" i="1"/>
  <c r="E63" i="1"/>
  <c r="E64" i="1"/>
  <c r="E55" i="1"/>
  <c r="E65" i="1" l="1"/>
  <c r="E68" i="1" s="1"/>
  <c r="F9" i="10" l="1"/>
  <c r="F10" i="10"/>
  <c r="F11" i="10"/>
  <c r="F12" i="10"/>
  <c r="F13" i="10"/>
  <c r="F14" i="10"/>
  <c r="F15" i="10"/>
  <c r="F16" i="10"/>
  <c r="F17" i="10"/>
  <c r="F18" i="10"/>
  <c r="F19" i="10"/>
  <c r="F8" i="10"/>
  <c r="L17" i="11" l="1"/>
  <c r="K37" i="11"/>
  <c r="J37" i="11"/>
  <c r="I37" i="11"/>
  <c r="H37" i="11"/>
  <c r="G37" i="11"/>
  <c r="F37" i="11"/>
  <c r="E37" i="11"/>
  <c r="D37" i="11"/>
  <c r="C37" i="11"/>
  <c r="L36" i="11"/>
  <c r="L35" i="11"/>
  <c r="L34" i="11"/>
  <c r="L33" i="11"/>
  <c r="L32" i="11"/>
  <c r="L31" i="11"/>
  <c r="L30" i="11"/>
  <c r="L29" i="11"/>
  <c r="L28" i="11"/>
  <c r="L27" i="11"/>
  <c r="L26" i="11"/>
  <c r="L25" i="11"/>
  <c r="K56" i="11"/>
  <c r="J56" i="11"/>
  <c r="I56" i="11"/>
  <c r="H56" i="11"/>
  <c r="G56" i="11"/>
  <c r="F56" i="11"/>
  <c r="E56" i="11"/>
  <c r="D56" i="11"/>
  <c r="C56" i="11"/>
  <c r="L55" i="11"/>
  <c r="L54" i="11"/>
  <c r="L53" i="11"/>
  <c r="L52" i="11"/>
  <c r="L51" i="11"/>
  <c r="L50" i="11"/>
  <c r="L49" i="11"/>
  <c r="L48" i="11"/>
  <c r="L47" i="11"/>
  <c r="L46" i="11"/>
  <c r="L45" i="11"/>
  <c r="L44" i="11"/>
  <c r="L56" i="11" l="1"/>
  <c r="L37" i="11"/>
  <c r="I13" i="10"/>
  <c r="I14" i="10"/>
  <c r="I15" i="10" s="1"/>
  <c r="I12" i="10"/>
  <c r="H13" i="10"/>
  <c r="H14" i="10" s="1"/>
  <c r="H12" i="10"/>
  <c r="E22" i="10" l="1"/>
  <c r="K37" i="1" l="1"/>
  <c r="K38" i="1"/>
  <c r="K39" i="1"/>
  <c r="K40" i="1"/>
  <c r="K41" i="1"/>
  <c r="K36" i="1"/>
  <c r="K43" i="1"/>
  <c r="K44" i="1"/>
  <c r="K45" i="1"/>
  <c r="K46" i="1"/>
  <c r="K47" i="1"/>
  <c r="K42" i="1"/>
  <c r="D19" i="10" l="1"/>
  <c r="D18" i="10"/>
  <c r="D17" i="10"/>
  <c r="D10" i="10"/>
  <c r="D11" i="10"/>
  <c r="D13" i="10"/>
  <c r="D9" i="10"/>
  <c r="D15" i="10"/>
  <c r="D14" i="10"/>
  <c r="D16" i="10"/>
  <c r="D12" i="10"/>
  <c r="D8" i="10"/>
  <c r="K50" i="1"/>
  <c r="D22" i="14" l="1"/>
  <c r="I20" i="14"/>
  <c r="M17" i="11"/>
  <c r="K17" i="11"/>
  <c r="J17" i="11"/>
  <c r="I17" i="11"/>
  <c r="H17" i="11"/>
  <c r="G17" i="11"/>
  <c r="F17" i="11"/>
  <c r="E17" i="11"/>
  <c r="D17" i="11"/>
  <c r="C17" i="11"/>
  <c r="N16" i="11"/>
  <c r="N15" i="11"/>
  <c r="N14" i="11"/>
  <c r="N13" i="11"/>
  <c r="N12" i="11"/>
  <c r="N11" i="11"/>
  <c r="N10" i="11"/>
  <c r="N9" i="11"/>
  <c r="N8" i="11"/>
  <c r="N7" i="11"/>
  <c r="N6" i="11"/>
  <c r="N5" i="11"/>
  <c r="N57" i="6"/>
  <c r="I22" i="14" l="1"/>
  <c r="I21" i="14"/>
  <c r="H22" i="14"/>
  <c r="H21" i="14"/>
  <c r="N17" i="11"/>
  <c r="F20" i="10"/>
  <c r="E20" i="10"/>
  <c r="D20" i="10"/>
  <c r="H8" i="10"/>
  <c r="H9" i="10" s="1"/>
  <c r="H10" i="10" s="1"/>
  <c r="H11" i="10" s="1"/>
  <c r="I7" i="10"/>
  <c r="I6" i="10"/>
  <c r="I20" i="10" l="1"/>
  <c r="H20" i="10"/>
  <c r="I8" i="10"/>
  <c r="I9" i="10" s="1"/>
  <c r="I10" i="10" s="1"/>
  <c r="I11" i="10" s="1"/>
  <c r="F22" i="10"/>
  <c r="D22" i="10"/>
  <c r="P15" i="1"/>
  <c r="H21" i="10" l="1"/>
  <c r="I22" i="10"/>
  <c r="H22" i="10" l="1"/>
  <c r="I21" i="10"/>
  <c r="L68" i="6"/>
  <c r="I68" i="6"/>
  <c r="G68" i="6"/>
  <c r="F68" i="6"/>
  <c r="D68" i="6"/>
  <c r="C68" i="6"/>
  <c r="B68" i="6"/>
  <c r="M67" i="6"/>
  <c r="M66" i="6"/>
  <c r="J68" i="6"/>
  <c r="H68" i="6"/>
  <c r="E68" i="6"/>
  <c r="M64" i="6"/>
  <c r="M63" i="6"/>
  <c r="M62" i="6"/>
  <c r="M61" i="6"/>
  <c r="M60" i="6"/>
  <c r="M59" i="6"/>
  <c r="M58" i="6"/>
  <c r="M57" i="6"/>
  <c r="M56" i="6"/>
  <c r="I18" i="3"/>
  <c r="I19" i="3"/>
  <c r="I20" i="3" s="1"/>
  <c r="H18" i="3"/>
  <c r="H19" i="3"/>
  <c r="H20" i="3" s="1"/>
  <c r="H17" i="3"/>
  <c r="M65" i="6" l="1"/>
  <c r="M68" i="6" s="1"/>
  <c r="I17" i="3"/>
  <c r="J47" i="6" l="1"/>
  <c r="H47" i="6"/>
  <c r="G47" i="6"/>
  <c r="G50" i="6" s="1"/>
  <c r="F47" i="6"/>
  <c r="E47" i="6"/>
  <c r="C47" i="6"/>
  <c r="C50" i="6"/>
  <c r="B47" i="6"/>
  <c r="L50" i="6"/>
  <c r="K50" i="6"/>
  <c r="I50" i="6"/>
  <c r="H50" i="6"/>
  <c r="F50" i="6"/>
  <c r="E50" i="6"/>
  <c r="D50" i="6"/>
  <c r="B50" i="6"/>
  <c r="M49" i="6"/>
  <c r="M48" i="6"/>
  <c r="M46" i="6"/>
  <c r="M45" i="6"/>
  <c r="M44" i="6"/>
  <c r="M43" i="6"/>
  <c r="M42" i="6"/>
  <c r="M41" i="6"/>
  <c r="M40" i="6"/>
  <c r="M39" i="6"/>
  <c r="M38" i="6"/>
  <c r="M29" i="6"/>
  <c r="M22" i="6"/>
  <c r="F10" i="3"/>
  <c r="M23" i="6"/>
  <c r="M24" i="6"/>
  <c r="F12" i="3"/>
  <c r="M25" i="6"/>
  <c r="M26" i="6"/>
  <c r="M28" i="6"/>
  <c r="M31" i="6"/>
  <c r="M32" i="6"/>
  <c r="L33" i="6"/>
  <c r="M21" i="6"/>
  <c r="K33" i="6"/>
  <c r="I33" i="6"/>
  <c r="H33" i="6"/>
  <c r="G33" i="6"/>
  <c r="F33" i="6"/>
  <c r="E33" i="6"/>
  <c r="D33" i="6"/>
  <c r="C33" i="6"/>
  <c r="J30" i="6"/>
  <c r="M30" i="6" s="1"/>
  <c r="J27" i="6"/>
  <c r="M27" i="6" s="1"/>
  <c r="F14" i="3"/>
  <c r="I16" i="6"/>
  <c r="H16" i="6"/>
  <c r="G16" i="6"/>
  <c r="E16" i="6"/>
  <c r="D16" i="6"/>
  <c r="C16" i="6"/>
  <c r="B16" i="6"/>
  <c r="J15" i="6"/>
  <c r="J14" i="6"/>
  <c r="J13" i="6"/>
  <c r="J12" i="6"/>
  <c r="J11" i="6"/>
  <c r="J10" i="6"/>
  <c r="J9" i="6"/>
  <c r="J8" i="6"/>
  <c r="J7" i="6"/>
  <c r="J6" i="6"/>
  <c r="J5" i="6"/>
  <c r="J4" i="6"/>
  <c r="J16" i="6"/>
  <c r="H10" i="3"/>
  <c r="H11" i="3"/>
  <c r="H12" i="3"/>
  <c r="H13" i="3"/>
  <c r="H14" i="3"/>
  <c r="H15" i="3"/>
  <c r="H16" i="3"/>
  <c r="H9" i="3"/>
  <c r="D19" i="3"/>
  <c r="D20" i="3"/>
  <c r="D14" i="3"/>
  <c r="P16" i="1"/>
  <c r="D18" i="3"/>
  <c r="D17" i="3"/>
  <c r="D13" i="3"/>
  <c r="D11" i="3"/>
  <c r="D15" i="3"/>
  <c r="D16" i="3"/>
  <c r="D10" i="3"/>
  <c r="P17" i="1"/>
  <c r="E23" i="3"/>
  <c r="P22" i="4"/>
  <c r="P16" i="4"/>
  <c r="P14" i="4"/>
  <c r="P18" i="4"/>
  <c r="Q18" i="4"/>
  <c r="P19" i="4"/>
  <c r="P20" i="4"/>
  <c r="P12" i="4"/>
  <c r="P18" i="1"/>
  <c r="P19" i="1"/>
  <c r="P20" i="1"/>
  <c r="P21" i="1"/>
  <c r="P22" i="1"/>
  <c r="E60" i="4"/>
  <c r="E59" i="4"/>
  <c r="E58" i="4"/>
  <c r="E57" i="4"/>
  <c r="E56" i="4"/>
  <c r="E55" i="4"/>
  <c r="E54" i="4"/>
  <c r="E53" i="4"/>
  <c r="E52" i="4"/>
  <c r="E51" i="4"/>
  <c r="E50" i="4"/>
  <c r="E49" i="4"/>
  <c r="E62" i="4"/>
  <c r="E48" i="4"/>
  <c r="D59" i="4"/>
  <c r="D58" i="4"/>
  <c r="D57" i="4"/>
  <c r="D56" i="4"/>
  <c r="D55" i="4"/>
  <c r="D54" i="4"/>
  <c r="D53" i="4"/>
  <c r="D52" i="4"/>
  <c r="D51" i="4"/>
  <c r="D50" i="4"/>
  <c r="D62" i="4"/>
  <c r="D49" i="4"/>
  <c r="D48" i="4"/>
  <c r="P41" i="4"/>
  <c r="I7" i="3"/>
  <c r="E24" i="4"/>
  <c r="C24" i="4"/>
  <c r="D24" i="4"/>
  <c r="F24" i="4"/>
  <c r="G24" i="4"/>
  <c r="H24" i="4"/>
  <c r="I24" i="4"/>
  <c r="J24" i="4"/>
  <c r="K24" i="4"/>
  <c r="L24" i="4"/>
  <c r="M24" i="4"/>
  <c r="N24" i="4"/>
  <c r="P10" i="4"/>
  <c r="Q10" i="4"/>
  <c r="D12" i="3"/>
  <c r="D9" i="3"/>
  <c r="G21" i="3"/>
  <c r="G23" i="3"/>
  <c r="D21" i="3"/>
  <c r="H21" i="3" s="1"/>
  <c r="I8" i="3"/>
  <c r="I9" i="3"/>
  <c r="I10" i="3"/>
  <c r="I11" i="3"/>
  <c r="I12" i="3"/>
  <c r="I13" i="3"/>
  <c r="I14" i="3"/>
  <c r="I15" i="3"/>
  <c r="I16" i="3"/>
  <c r="F21" i="3"/>
  <c r="E21" i="3"/>
  <c r="I21" i="3" s="1"/>
  <c r="B12" i="2"/>
  <c r="P23" i="1"/>
  <c r="P24" i="1"/>
  <c r="P25" i="1"/>
  <c r="B19" i="2"/>
  <c r="B21" i="2"/>
  <c r="B20" i="2"/>
  <c r="B6" i="2"/>
  <c r="P24" i="4"/>
  <c r="J50" i="6"/>
  <c r="B33" i="6"/>
  <c r="D23" i="3" l="1"/>
  <c r="M33" i="6"/>
  <c r="F11" i="3"/>
  <c r="M47" i="6"/>
  <c r="M50" i="6"/>
  <c r="J33" i="6"/>
  <c r="F9" i="3"/>
  <c r="F19" i="3"/>
  <c r="F13" i="3"/>
  <c r="I23" i="3"/>
  <c r="I22" i="3"/>
  <c r="H22" i="3"/>
  <c r="H23" i="3"/>
  <c r="F23" i="3" l="1"/>
</calcChain>
</file>

<file path=xl/comments1.xml><?xml version="1.0" encoding="utf-8"?>
<comments xmlns="http://schemas.openxmlformats.org/spreadsheetml/2006/main">
  <authors>
    <author xml:space="preserve"> </author>
  </authors>
  <commentList>
    <comment ref="L24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Error Discovered, so monthly amount is higher than it should be, looked at individual deposits to get a more revenue projection</t>
        </r>
      </text>
    </comment>
    <comment ref="M24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Error Fixed
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L40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Error Discovered, so monthly amount is higher than it should be, looked at individual deposits to get a more revenue projection</t>
        </r>
      </text>
    </comment>
    <comment ref="M40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Error Fixed
</t>
        </r>
      </text>
    </comment>
  </commentList>
</comments>
</file>

<file path=xl/sharedStrings.xml><?xml version="1.0" encoding="utf-8"?>
<sst xmlns="http://schemas.openxmlformats.org/spreadsheetml/2006/main" count="952" uniqueCount="251">
  <si>
    <t>Fund</t>
  </si>
  <si>
    <t>Accounting Period</t>
  </si>
  <si>
    <t xml:space="preserve">01                            </t>
  </si>
  <si>
    <t xml:space="preserve">02                            </t>
  </si>
  <si>
    <t xml:space="preserve">03                            </t>
  </si>
  <si>
    <t xml:space="preserve">04                            </t>
  </si>
  <si>
    <t xml:space="preserve">05                            </t>
  </si>
  <si>
    <t xml:space="preserve">06                            </t>
  </si>
  <si>
    <t xml:space="preserve">07                            </t>
  </si>
  <si>
    <t xml:space="preserve">08                            </t>
  </si>
  <si>
    <t xml:space="preserve">09                            </t>
  </si>
  <si>
    <t xml:space="preserve">10                            </t>
  </si>
  <si>
    <t xml:space="preserve">11                            </t>
  </si>
  <si>
    <t xml:space="preserve">12                            </t>
  </si>
  <si>
    <t xml:space="preserve">13                            </t>
  </si>
  <si>
    <t>428</t>
  </si>
  <si>
    <t>Acct Adjustment</t>
  </si>
  <si>
    <t>ACTUAL REVENUE EARNED TO THE FUND - Source: FDW:</t>
  </si>
  <si>
    <t>Anticiapted FY 2012 Beginning Fund Balance</t>
  </si>
  <si>
    <t>Fund 428 Fund Balance Estimate Calculation</t>
  </si>
  <si>
    <t>FY 2011 Revenue</t>
  </si>
  <si>
    <t>FY 2011 Expenses</t>
  </si>
  <si>
    <t>Net Income</t>
  </si>
  <si>
    <t>NET INCOME FY 2011</t>
  </si>
  <si>
    <t xml:space="preserve">*  Please note that these figures are based on revenue projections, any fluctuations in </t>
  </si>
  <si>
    <t>revenue received change the assumptions and projected numbers will differ</t>
  </si>
  <si>
    <t>______________________________________________________________________________________</t>
  </si>
  <si>
    <t>Revenue Earned FY 2011</t>
  </si>
  <si>
    <t>Expenditures FY 2011</t>
  </si>
  <si>
    <t>Revenue Projections:</t>
  </si>
  <si>
    <t>Starting Fund Balance:</t>
  </si>
  <si>
    <t>July</t>
  </si>
  <si>
    <t>Available to Spend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</si>
  <si>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</si>
  <si>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</si>
  <si>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</si>
  <si>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</si>
  <si>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</si>
  <si>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</si>
  <si>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</si>
  <si>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</si>
  <si>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</si>
  <si>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</si>
  <si>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</si>
  <si>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 xml:space="preserve">May </t>
  </si>
  <si>
    <t>CLOSING</t>
  </si>
  <si>
    <t>Starting Cash Balance:</t>
  </si>
  <si>
    <t>Interest Rate:</t>
  </si>
  <si>
    <t>PEAC</t>
  </si>
  <si>
    <t>Fund 428</t>
  </si>
  <si>
    <t>Fund Balance &amp; Revenue Projections</t>
  </si>
  <si>
    <t>FY 2012</t>
  </si>
  <si>
    <t>Beg Fund Balance - FY 2011</t>
  </si>
  <si>
    <t>TOTAL</t>
  </si>
  <si>
    <t>PEAC - Wildlife Council</t>
  </si>
  <si>
    <t>Expense</t>
  </si>
  <si>
    <t>Type</t>
  </si>
  <si>
    <t>Month</t>
  </si>
  <si>
    <t>Period 13</t>
  </si>
  <si>
    <t>Actual</t>
  </si>
  <si>
    <t>Directions to Prepare Financial Condition for</t>
  </si>
  <si>
    <t>FUND 428</t>
  </si>
  <si>
    <t>At the End of the accounting period you can run reports in FDW to show Revenues earned and Expenses incurred for the last accounting Period</t>
  </si>
  <si>
    <t>Days that the final numbers will be available are following:</t>
  </si>
  <si>
    <t>Acct Period</t>
  </si>
  <si>
    <t>Date Final Numbers Available</t>
  </si>
  <si>
    <t>In FDW go to the Agency Reports section (right hand side of main page) and select the  "YTD/Period End" hyperlink</t>
  </si>
  <si>
    <t>This will Bring you to a list of reports.  Scan through the list and select "Revenue by Fund, Appr. &amp; Revenue Source (REVARAQ)"</t>
  </si>
  <si>
    <t>a.</t>
  </si>
  <si>
    <t>b.</t>
  </si>
  <si>
    <t>c.</t>
  </si>
  <si>
    <t>Agency</t>
  </si>
  <si>
    <t>PBA</t>
  </si>
  <si>
    <t>Fiscal Year</t>
  </si>
  <si>
    <t>The month you want</t>
  </si>
  <si>
    <t>i.e. 04 (Oct.)</t>
  </si>
  <si>
    <t>Report Format</t>
  </si>
  <si>
    <t>HTML Small Font</t>
  </si>
  <si>
    <t>Select the "As of Period by Month" radial button</t>
  </si>
  <si>
    <t>Then make the following other selections based on the data wanted, and hit "Submit"</t>
  </si>
  <si>
    <t xml:space="preserve">d. </t>
  </si>
  <si>
    <t>e.</t>
  </si>
  <si>
    <t xml:space="preserve">Find fund 428 and extract the data you need from this report for the acct period needed.  </t>
  </si>
  <si>
    <t>This will bring you into a revenue report fund for each month, the report is organized numerically by fund.</t>
  </si>
  <si>
    <t>f.</t>
  </si>
  <si>
    <t>If you want to know the details that make up the revenue balance you can select the revenue balance hyperlink and it will</t>
  </si>
  <si>
    <t xml:space="preserve"> open up a page with all of the transactions that make up the amount</t>
  </si>
  <si>
    <t>This will Bring you to a list of reports.  Scan through the list and select "Expenditures by Fund (EXPQ)"</t>
  </si>
  <si>
    <t>This will bring you into a expenditure report by fund for each month, the report is organized numerically by fund.</t>
  </si>
  <si>
    <t>If you want to know the details that make up the expenditure balance you can select the expenditure balance hyperlink and it will</t>
  </si>
  <si>
    <t>Find fund 428 and extract the data you need from this report for the acct period needed, The report shows balances by object code.</t>
  </si>
  <si>
    <t>Open the "PEAC XXX FY 2012" for the last month of data that was prepared</t>
  </si>
  <si>
    <t>Save the file in order to capture the new month in the title (use save as function)</t>
  </si>
  <si>
    <t>Enter the revenue amount by clicking on the "Rev Projections" tab and enter the monthly revenue earned under the correlating month</t>
  </si>
  <si>
    <t>Then in the revenue by month table make sure to refernce the new months revenue in the appropriate cell in order to get rid of the estimate calculation</t>
  </si>
  <si>
    <t>Produce Expenditure Reports from FDW:</t>
  </si>
  <si>
    <t>Produce Revenue Reports from FDW:</t>
  </si>
  <si>
    <t xml:space="preserve">a. </t>
  </si>
  <si>
    <t xml:space="preserve">b. </t>
  </si>
  <si>
    <t>Enter Revenues into report:</t>
  </si>
  <si>
    <t>Enter Expenditures into report:</t>
  </si>
  <si>
    <t>Enter the expenditures amount by clicking on the "Expense Scenarios" tab and enter the monthly expenditures made by category grouping for the correlating month</t>
  </si>
  <si>
    <t>Change the formatting on the actual and estimated row on the top of the page in order to reflect the correct months as actual vs. estmated</t>
  </si>
  <si>
    <t xml:space="preserve">The information that you will need to enter will be done on the green tabs.  The red tab accumulates the final report and ties to </t>
  </si>
  <si>
    <t>other tabs (do not enter information in this tab).  The yellow tab is information that is entered once a year by acct., and the orange tab is the instructions tab.</t>
  </si>
  <si>
    <t>Once the Revenue and Expenditure tabs have been updated the final report seen in the "Available to spend" tab is complete.</t>
  </si>
  <si>
    <t>Click on this tab and print it, or use it for reporting amounts.</t>
  </si>
  <si>
    <t>Change the formatting on the actual and estimated column on the left hand side of the page in order to reflect the correct months as actual vs. estmated</t>
  </si>
  <si>
    <t>Actual Revenue</t>
  </si>
  <si>
    <t>Estimated Revenue</t>
  </si>
  <si>
    <t>Actual revenue and expenses through latest accounting period</t>
  </si>
  <si>
    <t>Wildlife Council</t>
  </si>
  <si>
    <t>NOTE: Depending on date of report actual revenue may differ from other financial reports.</t>
  </si>
  <si>
    <t>Estimated Expenditures</t>
  </si>
  <si>
    <t>Actual Expenditures</t>
  </si>
  <si>
    <t>Enter Here First</t>
  </si>
  <si>
    <t>******</t>
  </si>
  <si>
    <t>*******</t>
  </si>
  <si>
    <t>$</t>
  </si>
  <si>
    <t>Year End</t>
  </si>
  <si>
    <t>Estimated</t>
  </si>
  <si>
    <t>Reserve</t>
  </si>
  <si>
    <t>Balance</t>
  </si>
  <si>
    <t>Available to Spend Minus Reserve</t>
  </si>
  <si>
    <t xml:space="preserve">Date of report: </t>
  </si>
  <si>
    <t>FY 2016</t>
  </si>
  <si>
    <t>ACTUAL Expenditures</t>
  </si>
  <si>
    <t xml:space="preserve">Estimated expenditures </t>
  </si>
  <si>
    <t>Avg Fy14 -15</t>
  </si>
  <si>
    <t>Avg Fy13 -15</t>
  </si>
  <si>
    <t xml:space="preserve">The higlighted figures coordinate with the figures on the monthly revenue and expenses table </t>
  </si>
  <si>
    <t>FY 2017 - Actual/ Estimated Expenses by Month</t>
  </si>
  <si>
    <t>Media/research</t>
  </si>
  <si>
    <t>Travel reimbursement</t>
  </si>
  <si>
    <t>Meetings catering</t>
  </si>
  <si>
    <t>Monthly Fee</t>
  </si>
  <si>
    <t>Hard Costs</t>
  </si>
  <si>
    <t>Agency Fees</t>
  </si>
  <si>
    <t>Misc</t>
  </si>
  <si>
    <t>Estimated Revenue is calculated by averaging the actual revenue from the previous two fiscal years.</t>
  </si>
  <si>
    <t>Estimated expenditures is a combination of estimates from R&amp;R Partners’ expenses and Council operation costs</t>
  </si>
  <si>
    <t>FY 2018/2019 Monthly Billing Forecast</t>
  </si>
  <si>
    <t xml:space="preserve">Agency Fees: Creative Production </t>
  </si>
  <si>
    <t>Agency Fee: Qual</t>
  </si>
  <si>
    <t xml:space="preserve">Agency Fee: Quant </t>
  </si>
  <si>
    <t>Agency Fee: Media</t>
  </si>
  <si>
    <t xml:space="preserve">Media + Hard Costs </t>
  </si>
  <si>
    <t>Monthly TOTALS</t>
  </si>
  <si>
    <t xml:space="preserve">Media + Hard Cost Detail </t>
  </si>
  <si>
    <t xml:space="preserve">Creative production </t>
  </si>
  <si>
    <t>NET media fee</t>
  </si>
  <si>
    <t xml:space="preserve">Quant survey </t>
  </si>
  <si>
    <t>TOTALS</t>
  </si>
  <si>
    <t>FY 2019 - Estimated Amount Available to Spend by Month</t>
  </si>
  <si>
    <t xml:space="preserve">Council Meeting Operation Costs </t>
  </si>
  <si>
    <t xml:space="preserve">Qual focus groups </t>
  </si>
  <si>
    <t xml:space="preserve">FY 2018/2019 Monthly Billing Forecast - Revised </t>
  </si>
  <si>
    <t>Agency Fee: Qual r1 + r2</t>
  </si>
  <si>
    <t>Agency Fee: Website Dev</t>
  </si>
  <si>
    <t xml:space="preserve">Agency Fee: Exploratory Research </t>
  </si>
  <si>
    <t xml:space="preserve">NET Media Funds </t>
  </si>
  <si>
    <t xml:space="preserve">Hard Costs </t>
  </si>
  <si>
    <t xml:space="preserve">Hard Cost Detail </t>
  </si>
  <si>
    <t xml:space="preserve">qual focus groups </t>
  </si>
  <si>
    <t xml:space="preserve">exploratory research </t>
  </si>
  <si>
    <t xml:space="preserve">quant survey + exploratory research </t>
  </si>
  <si>
    <t xml:space="preserve">qual focus groups + web devUX testing </t>
  </si>
  <si>
    <t xml:space="preserve">creative production </t>
  </si>
  <si>
    <t>Wild Harvest Initiative</t>
  </si>
  <si>
    <t>Media Buy in January</t>
  </si>
  <si>
    <t>R&amp;R Partners</t>
  </si>
  <si>
    <t>FY 2018/2019 Monthly Billing Forecast - Revised Again 3/26/19</t>
  </si>
  <si>
    <t>Invoice Payment was put on hold for January, February, and part of March,  therefore the estimated expenses were moved to April.  Exploratory research was also billed later in the year.</t>
  </si>
  <si>
    <t>FY 2020 - Estimated Amount Available to Spend by Month</t>
  </si>
  <si>
    <t xml:space="preserve">FY 2019/2020 Monthly Billing Forecast </t>
  </si>
  <si>
    <t>Agency Fee: Website</t>
  </si>
  <si>
    <t>Agency Fee: Communication Tooklit</t>
  </si>
  <si>
    <t>Agency Fee: Competitive Analyses</t>
  </si>
  <si>
    <t>Communication Toolkit</t>
  </si>
  <si>
    <t>Quantitative Study</t>
  </si>
  <si>
    <t xml:space="preserve">Creative Production </t>
  </si>
  <si>
    <t xml:space="preserve"> FY2019 </t>
  </si>
  <si>
    <t xml:space="preserve">FY2020 </t>
  </si>
  <si>
    <t xml:space="preserve"> Available to Spend </t>
  </si>
  <si>
    <t>Media Buy in July/August and February</t>
  </si>
  <si>
    <t>Monthly TOTALS  (July &amp; August combined)</t>
  </si>
  <si>
    <t>FY18</t>
  </si>
  <si>
    <t>FY19</t>
  </si>
  <si>
    <t>Doubled</t>
  </si>
  <si>
    <t>Jan-June only FY18 doubled</t>
  </si>
  <si>
    <t xml:space="preserve">Estimated revenue was calculated by doubling actual revenue from FY18 and doubling July-December of FY19 then </t>
  </si>
  <si>
    <t>averaging these figures.</t>
  </si>
  <si>
    <t>FY 2019/2020 Monthly Billing Forecast</t>
  </si>
  <si>
    <t xml:space="preserve">Job # </t>
  </si>
  <si>
    <t>multiple</t>
  </si>
  <si>
    <t xml:space="preserve">multiple </t>
  </si>
  <si>
    <t>Agency Fee: Web</t>
  </si>
  <si>
    <t>Agency Fee: Comms Toolkit</t>
  </si>
  <si>
    <t>Agency Fee: Competitive</t>
  </si>
  <si>
    <t>comms toolkit</t>
  </si>
  <si>
    <t xml:space="preserve">quant survey </t>
  </si>
  <si>
    <t>FY 2019/2020 Monthly Billing Forecast (Version 2 - Incremental $325,000)</t>
  </si>
  <si>
    <t xml:space="preserve">creative production + quant survey </t>
  </si>
  <si>
    <t xml:space="preserve">Council Meeting Operation &amp; Project Costs </t>
  </si>
  <si>
    <t>FY20</t>
  </si>
  <si>
    <t>Average</t>
  </si>
  <si>
    <t>Total</t>
  </si>
  <si>
    <t>Average of FY19 and 20 for May and June figures</t>
  </si>
  <si>
    <t>Figures may be off slightly due to rounding</t>
  </si>
  <si>
    <t>FY 2021 - Estimated Amount Available to Spend by Month</t>
  </si>
  <si>
    <t xml:space="preserve">Agency Fee: Web Redesign </t>
  </si>
  <si>
    <t xml:space="preserve">Agency Fee: Exploratory </t>
  </si>
  <si>
    <t xml:space="preserve">Research Hard Costs </t>
  </si>
  <si>
    <t xml:space="preserve">Production Hard Costs </t>
  </si>
  <si>
    <t>Exploratory incentives</t>
  </si>
  <si>
    <t>Web hard costs</t>
  </si>
  <si>
    <t>FY 2020/2021 Monthly Billing Forecast</t>
  </si>
  <si>
    <t>CWC FY 2020/2021 Monthly Billing Forecast - Included R&amp;R's 6/18/20 changes</t>
  </si>
  <si>
    <t xml:space="preserve">Council Meeting Operation, Outreach, and Opportunity Fund Costs </t>
  </si>
  <si>
    <t>Totals</t>
  </si>
  <si>
    <t>FY2021</t>
  </si>
  <si>
    <t>Estimated Revenue for</t>
  </si>
  <si>
    <t>Average of 19&amp;20</t>
  </si>
  <si>
    <t>FY19 (July-Dec Doubled)</t>
  </si>
  <si>
    <t xml:space="preserve">Estimated revenue was calculated by averaging FY19 (doubling only July-December figures) and FY20 </t>
  </si>
  <si>
    <t>Agency Fee: Exploratory</t>
  </si>
  <si>
    <t>Agency Fee: Website Redesign</t>
  </si>
  <si>
    <t xml:space="preserve">Agency Fee: Creative Production </t>
  </si>
  <si>
    <t>Media Buy in July and December</t>
  </si>
  <si>
    <t>FY 2022 - Estimated Amount Available to Spend by Month</t>
  </si>
  <si>
    <t>CWC FY 2021/2022 Monthly Billing Forecast</t>
  </si>
  <si>
    <t>Job #</t>
  </si>
  <si>
    <t>Agency Fees: Creative Production</t>
  </si>
  <si>
    <t>Agency Fee: Social Media</t>
  </si>
  <si>
    <t>Agency Fee: Web Maint + Hard Costs</t>
  </si>
  <si>
    <t>Agency Fee: Public Relations + Hard Costs</t>
  </si>
  <si>
    <t>Agency Fee: Campaign Reporting + Strategy</t>
  </si>
  <si>
    <t>Agency Fee: Quant Study</t>
  </si>
  <si>
    <t>Agency Fee: Media Planning &amp; Buying</t>
  </si>
  <si>
    <t>NET Media Funds</t>
  </si>
  <si>
    <t>Research Hard Costs</t>
  </si>
  <si>
    <t>Production Hard Costs</t>
  </si>
  <si>
    <t>R&amp;R Total</t>
  </si>
  <si>
    <t>FY21</t>
  </si>
  <si>
    <t>total</t>
  </si>
  <si>
    <t>Average Estimated Rev for FY22</t>
  </si>
  <si>
    <t xml:space="preserve"> </t>
  </si>
  <si>
    <t>R&amp;R FY20/21 Budget Related to Advertising</t>
  </si>
  <si>
    <t xml:space="preserve">Media </t>
  </si>
  <si>
    <t>Creative</t>
  </si>
  <si>
    <t>Research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</si>
</sst>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\ ;[Red]\(&quot;$&quot;#,##0.00\)"/>
    <numFmt numFmtId="165" formatCode="[Blue]General"/>
    <numFmt numFmtId="166" formatCode="&quot;$&quot;#,##0.00"/>
    <numFmt numFmtId="167" formatCode="&quot;$&quot;#,##0"/>
    <numFmt numFmtId="168" formatCode="_(&quot;$&quot;* #,##0_);_(&quot;$&quot;* \(#,##0\);_(&quot;$&quot;* &quot;-&quot;??_);_(@_)"/>
    <numFmt numFmtId="169" formatCode="[$-409]mmmm\ d\,\ yyyy;@"/>
    <numFmt numFmtId="170" formatCode="0.00_);[Red]\(0.00\)"/>
    <numFmt numFmtId="171" formatCode="&quot;$&quot;#,##0.00;[Red]&quot;$&quot;#,##0.00"/>
    <numFmt numFmtId="172" formatCode="_(* #,##0_);_(* \(#,##0\);_(* &quot;-&quot;??_);_(@_)"/>
  </numFmts>
  <fonts count="36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Trebuchet MS"/>
      <family val="2"/>
    </font>
    <font>
      <sz val="11"/>
      <color theme="1"/>
      <name val="Trebuchet MS"/>
      <family val="2"/>
    </font>
    <font>
      <b/>
      <i/>
      <sz val="14"/>
      <color theme="1"/>
      <name val="Trebuchet MS"/>
      <family val="2"/>
    </font>
    <font>
      <i/>
      <sz val="12"/>
      <color theme="1"/>
      <name val="Trebuchet MS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b/>
      <sz val="12"/>
      <color theme="1"/>
      <name val="Trebuchet MS"/>
      <family val="2"/>
    </font>
    <font>
      <b/>
      <sz val="11"/>
      <color theme="1"/>
      <name val="Trebuchet MS"/>
      <family val="2"/>
    </font>
    <font>
      <i/>
      <sz val="12"/>
      <color rgb="FF222222"/>
      <name val="Trebuchet MS"/>
      <family val="2"/>
    </font>
    <font>
      <i/>
      <sz val="11"/>
      <color theme="1"/>
      <name val="Trebuchet MS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0"/>
      <color rgb="FF222222"/>
      <name val="Trebuchet MS"/>
      <family val="2"/>
    </font>
    <font>
      <i/>
      <sz val="10"/>
      <color theme="1"/>
      <name val="Trebuchet MS"/>
      <family val="2"/>
    </font>
    <font>
      <b/>
      <u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AFA9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A8D08D"/>
        <bgColor indexed="64"/>
      </patternFill>
    </fill>
    <fill>
      <patternFill patternType="solid">
        <fgColor rgb="FFFFE598"/>
        <bgColor indexed="64"/>
      </patternFill>
    </fill>
    <fill>
      <patternFill patternType="solid">
        <fgColor rgb="FFD8D8D8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double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double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rgb="FFCCCCCC"/>
      </left>
      <right style="medium">
        <color rgb="FF000000"/>
      </right>
      <top/>
      <bottom style="medium">
        <color rgb="FFCCCCCC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5" fillId="0" borderId="0" applyFont="0" applyFill="0" applyBorder="0" applyAlignment="0" applyProtection="0"/>
  </cellStyleXfs>
  <cellXfs count="324">
    <xf numFmtId="0" fontId="0" fillId="0" borderId="0" xfId="0"/>
    <xf numFmtId="165" fontId="0" fillId="0" borderId="1" xfId="0" applyNumberFormat="1" applyFont="1" applyBorder="1" applyAlignment="1" applyProtection="1">
      <alignment horizontal="left"/>
      <protection locked="0"/>
    </xf>
    <xf numFmtId="165" fontId="0" fillId="0" borderId="0" xfId="0" applyNumberFormat="1" applyFont="1" applyBorder="1" applyAlignment="1" applyProtection="1">
      <alignment horizontal="left"/>
      <protection locked="0"/>
    </xf>
    <xf numFmtId="166" fontId="0" fillId="0" borderId="0" xfId="0" applyNumberFormat="1"/>
    <xf numFmtId="0" fontId="0" fillId="0" borderId="0" xfId="0" applyBorder="1"/>
    <xf numFmtId="0" fontId="6" fillId="0" borderId="0" xfId="0" applyFont="1"/>
    <xf numFmtId="0" fontId="0" fillId="0" borderId="2" xfId="0" applyBorder="1"/>
    <xf numFmtId="0" fontId="0" fillId="0" borderId="3" xfId="0" applyBorder="1"/>
    <xf numFmtId="165" fontId="0" fillId="0" borderId="3" xfId="0" applyNumberFormat="1" applyFont="1" applyBorder="1" applyAlignment="1" applyProtection="1">
      <alignment horizontal="left"/>
      <protection locked="0"/>
    </xf>
    <xf numFmtId="0" fontId="0" fillId="0" borderId="4" xfId="0" applyBorder="1"/>
    <xf numFmtId="0" fontId="0" fillId="0" borderId="5" xfId="0" applyBorder="1"/>
    <xf numFmtId="165" fontId="0" fillId="0" borderId="6" xfId="0" applyNumberFormat="1" applyFont="1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left"/>
      <protection locked="0"/>
    </xf>
    <xf numFmtId="164" fontId="0" fillId="0" borderId="0" xfId="0" applyNumberFormat="1" applyBorder="1" applyProtection="1">
      <protection locked="0"/>
    </xf>
    <xf numFmtId="164" fontId="0" fillId="0" borderId="6" xfId="0" applyNumberFormat="1" applyBorder="1" applyProtection="1">
      <protection locked="0"/>
    </xf>
    <xf numFmtId="0" fontId="0" fillId="0" borderId="7" xfId="0" applyBorder="1"/>
    <xf numFmtId="0" fontId="0" fillId="0" borderId="8" xfId="0" applyNumberFormat="1" applyBorder="1" applyAlignment="1" applyProtection="1">
      <alignment horizontal="left"/>
      <protection locked="0"/>
    </xf>
    <xf numFmtId="164" fontId="0" fillId="0" borderId="8" xfId="0" applyNumberFormat="1" applyBorder="1" applyProtection="1">
      <protection locked="0"/>
    </xf>
    <xf numFmtId="164" fontId="0" fillId="0" borderId="9" xfId="0" applyNumberFormat="1" applyBorder="1" applyProtection="1">
      <protection locked="0"/>
    </xf>
    <xf numFmtId="164" fontId="0" fillId="2" borderId="0" xfId="0" applyNumberFormat="1" applyFill="1" applyBorder="1" applyProtection="1">
      <protection locked="0"/>
    </xf>
    <xf numFmtId="0" fontId="7" fillId="0" borderId="0" xfId="0" applyFont="1"/>
    <xf numFmtId="0" fontId="8" fillId="0" borderId="0" xfId="0" applyFont="1"/>
    <xf numFmtId="167" fontId="0" fillId="0" borderId="0" xfId="0" applyNumberFormat="1"/>
    <xf numFmtId="167" fontId="7" fillId="0" borderId="10" xfId="0" applyNumberFormat="1" applyFont="1" applyBorder="1"/>
    <xf numFmtId="0" fontId="9" fillId="0" borderId="0" xfId="0" applyFont="1"/>
    <xf numFmtId="0" fontId="0" fillId="0" borderId="0" xfId="0" applyFont="1"/>
    <xf numFmtId="167" fontId="6" fillId="0" borderId="10" xfId="0" applyNumberFormat="1" applyFont="1" applyBorder="1"/>
    <xf numFmtId="44" fontId="0" fillId="0" borderId="0" xfId="0" applyNumberFormat="1"/>
    <xf numFmtId="44" fontId="0" fillId="0" borderId="10" xfId="0" applyNumberFormat="1" applyBorder="1"/>
    <xf numFmtId="164" fontId="0" fillId="0" borderId="0" xfId="0" applyNumberFormat="1"/>
    <xf numFmtId="164" fontId="0" fillId="0" borderId="0" xfId="0" applyNumberFormat="1" applyFill="1" applyBorder="1" applyProtection="1">
      <protection locked="0"/>
    </xf>
    <xf numFmtId="8" fontId="0" fillId="0" borderId="6" xfId="0" applyNumberFormat="1" applyBorder="1"/>
    <xf numFmtId="165" fontId="0" fillId="0" borderId="1" xfId="0" applyNumberFormat="1" applyBorder="1" applyAlignment="1" applyProtection="1">
      <alignment horizontal="left"/>
      <protection locked="0"/>
    </xf>
    <xf numFmtId="165" fontId="0" fillId="0" borderId="11" xfId="0" applyNumberFormat="1" applyBorder="1" applyAlignment="1" applyProtection="1">
      <alignment horizontal="left"/>
      <protection locked="0"/>
    </xf>
    <xf numFmtId="10" fontId="0" fillId="0" borderId="0" xfId="0" applyNumberFormat="1"/>
    <xf numFmtId="0" fontId="0" fillId="3" borderId="0" xfId="0" applyFill="1" applyBorder="1"/>
    <xf numFmtId="168" fontId="0" fillId="3" borderId="0" xfId="0" applyNumberFormat="1" applyFill="1"/>
    <xf numFmtId="0" fontId="0" fillId="4" borderId="0" xfId="0" applyFill="1" applyAlignment="1">
      <alignment horizontal="right"/>
    </xf>
    <xf numFmtId="0" fontId="10" fillId="4" borderId="0" xfId="0" applyFont="1" applyFill="1"/>
    <xf numFmtId="0" fontId="10" fillId="4" borderId="0" xfId="0" applyFont="1" applyFill="1" applyBorder="1"/>
    <xf numFmtId="0" fontId="0" fillId="4" borderId="0" xfId="0" applyFill="1"/>
    <xf numFmtId="0" fontId="7" fillId="4" borderId="0" xfId="0" applyFont="1" applyFill="1" applyBorder="1"/>
    <xf numFmtId="0" fontId="0" fillId="4" borderId="0" xfId="0" applyFill="1" applyBorder="1"/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168" fontId="0" fillId="4" borderId="0" xfId="0" applyNumberFormat="1" applyFill="1"/>
    <xf numFmtId="0" fontId="6" fillId="4" borderId="0" xfId="0" applyFont="1" applyFill="1" applyAlignment="1">
      <alignment horizontal="right"/>
    </xf>
    <xf numFmtId="0" fontId="6" fillId="4" borderId="0" xfId="0" applyFont="1" applyFill="1" applyBorder="1"/>
    <xf numFmtId="168" fontId="0" fillId="4" borderId="10" xfId="0" applyNumberFormat="1" applyFill="1" applyBorder="1"/>
    <xf numFmtId="168" fontId="6" fillId="4" borderId="14" xfId="0" applyNumberFormat="1" applyFont="1" applyFill="1" applyBorder="1"/>
    <xf numFmtId="0" fontId="11" fillId="4" borderId="0" xfId="0" applyFont="1" applyFill="1"/>
    <xf numFmtId="165" fontId="0" fillId="0" borderId="6" xfId="0" applyNumberFormat="1" applyBorder="1" applyAlignment="1" applyProtection="1">
      <alignment horizontal="left"/>
      <protection locked="0"/>
    </xf>
    <xf numFmtId="0" fontId="0" fillId="0" borderId="1" xfId="0" applyBorder="1"/>
    <xf numFmtId="14" fontId="0" fillId="0" borderId="0" xfId="0" applyNumberFormat="1"/>
    <xf numFmtId="0" fontId="12" fillId="0" borderId="0" xfId="0" applyFont="1"/>
    <xf numFmtId="0" fontId="6" fillId="0" borderId="0" xfId="0" applyFont="1" applyAlignment="1">
      <alignment horizontal="right"/>
    </xf>
    <xf numFmtId="0" fontId="1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8" xfId="0" applyFont="1" applyBorder="1" applyAlignment="1">
      <alignment horizontal="center"/>
    </xf>
    <xf numFmtId="0" fontId="0" fillId="0" borderId="8" xfId="0" applyFont="1" applyBorder="1"/>
    <xf numFmtId="44" fontId="0" fillId="0" borderId="8" xfId="0" applyNumberFormat="1" applyFont="1" applyBorder="1" applyAlignment="1">
      <alignment horizontal="center"/>
    </xf>
    <xf numFmtId="8" fontId="0" fillId="0" borderId="0" xfId="0" applyNumberFormat="1" applyBorder="1" applyAlignment="1" applyProtection="1">
      <alignment horizontal="right"/>
      <protection locked="0"/>
    </xf>
    <xf numFmtId="40" fontId="0" fillId="0" borderId="0" xfId="0" applyNumberFormat="1"/>
    <xf numFmtId="40" fontId="0" fillId="0" borderId="0" xfId="0" applyNumberFormat="1" applyBorder="1" applyAlignment="1" applyProtection="1">
      <alignment horizontal="right"/>
      <protection locked="0"/>
    </xf>
    <xf numFmtId="0" fontId="14" fillId="2" borderId="0" xfId="0" applyFont="1" applyFill="1"/>
    <xf numFmtId="0" fontId="0" fillId="2" borderId="0" xfId="0" applyFill="1"/>
    <xf numFmtId="170" fontId="0" fillId="0" borderId="0" xfId="0" applyNumberFormat="1" applyBorder="1" applyAlignment="1" applyProtection="1">
      <protection locked="0"/>
    </xf>
    <xf numFmtId="165" fontId="15" fillId="0" borderId="0" xfId="0" applyNumberFormat="1" applyFont="1" applyBorder="1" applyAlignment="1" applyProtection="1">
      <alignment horizontal="left"/>
      <protection locked="0"/>
    </xf>
    <xf numFmtId="164" fontId="0" fillId="0" borderId="0" xfId="0" applyNumberFormat="1" applyBorder="1" applyAlignment="1" applyProtection="1">
      <alignment horizontal="right"/>
      <protection locked="0"/>
    </xf>
    <xf numFmtId="170" fontId="0" fillId="0" borderId="0" xfId="0" applyNumberFormat="1" applyBorder="1" applyAlignment="1" applyProtection="1">
      <alignment horizontal="right"/>
      <protection locked="0"/>
    </xf>
    <xf numFmtId="0" fontId="0" fillId="4" borderId="15" xfId="0" applyFill="1" applyBorder="1"/>
    <xf numFmtId="168" fontId="0" fillId="4" borderId="16" xfId="0" applyNumberFormat="1" applyFill="1" applyBorder="1"/>
    <xf numFmtId="170" fontId="0" fillId="0" borderId="6" xfId="0" applyNumberFormat="1" applyBorder="1" applyAlignment="1" applyProtection="1">
      <alignment horizontal="right"/>
      <protection locked="0"/>
    </xf>
    <xf numFmtId="165" fontId="0" fillId="0" borderId="6" xfId="0" applyNumberFormat="1" applyBorder="1" applyAlignment="1" applyProtection="1">
      <alignment horizontal="right"/>
      <protection locked="0"/>
    </xf>
    <xf numFmtId="171" fontId="0" fillId="0" borderId="0" xfId="0" applyNumberFormat="1"/>
    <xf numFmtId="165" fontId="0" fillId="0" borderId="0" xfId="0" applyNumberFormat="1" applyBorder="1" applyAlignment="1" applyProtection="1">
      <alignment horizontal="left"/>
      <protection locked="0"/>
    </xf>
    <xf numFmtId="40" fontId="6" fillId="0" borderId="0" xfId="0" applyNumberFormat="1" applyFont="1"/>
    <xf numFmtId="172" fontId="3" fillId="0" borderId="17" xfId="1" applyNumberFormat="1" applyFont="1" applyBorder="1"/>
    <xf numFmtId="0" fontId="0" fillId="4" borderId="18" xfId="0" applyFill="1" applyBorder="1" applyAlignment="1">
      <alignment horizontal="right" wrapText="1"/>
    </xf>
    <xf numFmtId="0" fontId="16" fillId="4" borderId="0" xfId="0" applyFont="1" applyFill="1"/>
    <xf numFmtId="0" fontId="17" fillId="4" borderId="0" xfId="0" applyFont="1" applyFill="1"/>
    <xf numFmtId="0" fontId="18" fillId="4" borderId="0" xfId="0" applyFont="1" applyFill="1"/>
    <xf numFmtId="0" fontId="19" fillId="4" borderId="0" xfId="0" applyFont="1" applyFill="1"/>
    <xf numFmtId="44" fontId="17" fillId="4" borderId="0" xfId="0" applyNumberFormat="1" applyFont="1" applyFill="1"/>
    <xf numFmtId="0" fontId="20" fillId="4" borderId="0" xfId="0" applyFont="1" applyFill="1"/>
    <xf numFmtId="0" fontId="21" fillId="4" borderId="0" xfId="0" applyFont="1" applyFill="1" applyBorder="1" applyAlignment="1">
      <alignment horizontal="center" wrapText="1"/>
    </xf>
    <xf numFmtId="44" fontId="21" fillId="4" borderId="12" xfId="0" applyNumberFormat="1" applyFont="1" applyFill="1" applyBorder="1" applyAlignment="1">
      <alignment horizontal="center" wrapText="1"/>
    </xf>
    <xf numFmtId="0" fontId="21" fillId="4" borderId="14" xfId="0" applyFont="1" applyFill="1" applyBorder="1" applyAlignment="1">
      <alignment horizontal="center" wrapText="1"/>
    </xf>
    <xf numFmtId="0" fontId="22" fillId="5" borderId="12" xfId="0" applyFont="1" applyFill="1" applyBorder="1" applyAlignment="1">
      <alignment horizontal="center" vertical="center" wrapText="1"/>
    </xf>
    <xf numFmtId="169" fontId="20" fillId="4" borderId="3" xfId="0" applyNumberFormat="1" applyFont="1" applyFill="1" applyBorder="1" applyAlignment="1">
      <alignment horizontal="left"/>
    </xf>
    <xf numFmtId="38" fontId="21" fillId="4" borderId="3" xfId="0" applyNumberFormat="1" applyFont="1" applyFill="1" applyBorder="1" applyAlignment="1">
      <alignment horizontal="right" vertical="center"/>
    </xf>
    <xf numFmtId="38" fontId="20" fillId="4" borderId="19" xfId="0" applyNumberFormat="1" applyFont="1" applyFill="1" applyBorder="1" applyAlignment="1">
      <alignment horizontal="right" vertical="center"/>
    </xf>
    <xf numFmtId="0" fontId="22" fillId="6" borderId="12" xfId="0" applyFont="1" applyFill="1" applyBorder="1" applyAlignment="1">
      <alignment horizontal="center" vertical="center" wrapText="1"/>
    </xf>
    <xf numFmtId="169" fontId="20" fillId="4" borderId="0" xfId="0" applyNumberFormat="1" applyFont="1" applyFill="1" applyBorder="1" applyAlignment="1">
      <alignment horizontal="left"/>
    </xf>
    <xf numFmtId="38" fontId="21" fillId="4" borderId="0" xfId="0" applyNumberFormat="1" applyFont="1" applyFill="1" applyBorder="1" applyAlignment="1">
      <alignment horizontal="right" vertical="center"/>
    </xf>
    <xf numFmtId="38" fontId="21" fillId="4" borderId="19" xfId="0" applyNumberFormat="1" applyFont="1" applyFill="1" applyBorder="1" applyAlignment="1">
      <alignment horizontal="right" vertical="center"/>
    </xf>
    <xf numFmtId="0" fontId="20" fillId="4" borderId="0" xfId="0" applyFont="1" applyFill="1" applyBorder="1"/>
    <xf numFmtId="3" fontId="4" fillId="4" borderId="0" xfId="0" applyNumberFormat="1" applyFont="1" applyFill="1" applyBorder="1"/>
    <xf numFmtId="38" fontId="20" fillId="4" borderId="0" xfId="0" applyNumberFormat="1" applyFont="1" applyFill="1" applyBorder="1"/>
    <xf numFmtId="38" fontId="20" fillId="4" borderId="19" xfId="0" applyNumberFormat="1" applyFont="1" applyFill="1" applyBorder="1"/>
    <xf numFmtId="0" fontId="20" fillId="0" borderId="0" xfId="0" applyFont="1" applyFill="1" applyBorder="1"/>
    <xf numFmtId="38" fontId="20" fillId="0" borderId="0" xfId="0" applyNumberFormat="1" applyFont="1" applyFill="1" applyBorder="1"/>
    <xf numFmtId="0" fontId="20" fillId="3" borderId="8" xfId="0" applyFont="1" applyFill="1" applyBorder="1"/>
    <xf numFmtId="3" fontId="4" fillId="3" borderId="8" xfId="0" applyNumberFormat="1" applyFont="1" applyFill="1" applyBorder="1"/>
    <xf numFmtId="38" fontId="20" fillId="3" borderId="8" xfId="0" applyNumberFormat="1" applyFont="1" applyFill="1" applyBorder="1"/>
    <xf numFmtId="38" fontId="20" fillId="0" borderId="13" xfId="0" applyNumberFormat="1" applyFont="1" applyFill="1" applyBorder="1"/>
    <xf numFmtId="0" fontId="20" fillId="7" borderId="0" xfId="0" applyFont="1" applyFill="1" applyBorder="1"/>
    <xf numFmtId="3" fontId="4" fillId="7" borderId="0" xfId="0" applyNumberFormat="1" applyFont="1" applyFill="1" applyBorder="1"/>
    <xf numFmtId="38" fontId="20" fillId="7" borderId="0" xfId="0" applyNumberFormat="1" applyFont="1" applyFill="1" applyBorder="1"/>
    <xf numFmtId="38" fontId="21" fillId="0" borderId="19" xfId="0" applyNumberFormat="1" applyFont="1" applyFill="1" applyBorder="1"/>
    <xf numFmtId="3" fontId="5" fillId="4" borderId="20" xfId="0" applyNumberFormat="1" applyFont="1" applyFill="1" applyBorder="1"/>
    <xf numFmtId="168" fontId="23" fillId="4" borderId="0" xfId="0" applyNumberFormat="1" applyFont="1" applyFill="1" applyBorder="1"/>
    <xf numFmtId="44" fontId="23" fillId="4" borderId="0" xfId="0" applyNumberFormat="1" applyFont="1" applyFill="1" applyBorder="1"/>
    <xf numFmtId="14" fontId="17" fillId="4" borderId="0" xfId="0" applyNumberFormat="1" applyFont="1" applyFill="1" applyBorder="1"/>
    <xf numFmtId="168" fontId="17" fillId="4" borderId="0" xfId="0" applyNumberFormat="1" applyFont="1" applyFill="1" applyBorder="1"/>
    <xf numFmtId="168" fontId="17" fillId="4" borderId="0" xfId="0" applyNumberFormat="1" applyFont="1" applyFill="1"/>
    <xf numFmtId="0" fontId="17" fillId="4" borderId="0" xfId="0" applyFont="1" applyFill="1" applyBorder="1"/>
    <xf numFmtId="0" fontId="24" fillId="0" borderId="0" xfId="0" applyFont="1" applyAlignment="1">
      <alignment wrapText="1"/>
    </xf>
    <xf numFmtId="0" fontId="25" fillId="4" borderId="0" xfId="0" applyFont="1" applyFill="1" applyBorder="1" applyAlignment="1">
      <alignment wrapText="1"/>
    </xf>
    <xf numFmtId="38" fontId="20" fillId="4" borderId="0" xfId="0" applyNumberFormat="1" applyFont="1" applyFill="1" applyBorder="1" applyAlignment="1">
      <alignment horizontal="right" vertical="center"/>
    </xf>
    <xf numFmtId="38" fontId="21" fillId="4" borderId="0" xfId="0" applyNumberFormat="1" applyFont="1" applyFill="1" applyBorder="1"/>
    <xf numFmtId="0" fontId="20" fillId="0" borderId="0" xfId="0" applyFont="1" applyBorder="1"/>
    <xf numFmtId="14" fontId="20" fillId="4" borderId="0" xfId="0" applyNumberFormat="1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38" fontId="21" fillId="0" borderId="20" xfId="0" applyNumberFormat="1" applyFont="1" applyFill="1" applyBorder="1"/>
    <xf numFmtId="38" fontId="21" fillId="0" borderId="22" xfId="0" applyNumberFormat="1" applyFont="1" applyFill="1" applyBorder="1"/>
    <xf numFmtId="38" fontId="21" fillId="8" borderId="20" xfId="0" applyNumberFormat="1" applyFont="1" applyFill="1" applyBorder="1"/>
    <xf numFmtId="38" fontId="5" fillId="9" borderId="20" xfId="0" applyNumberFormat="1" applyFont="1" applyFill="1" applyBorder="1"/>
    <xf numFmtId="3" fontId="4" fillId="0" borderId="0" xfId="0" applyNumberFormat="1" applyFont="1" applyFill="1" applyBorder="1"/>
    <xf numFmtId="40" fontId="26" fillId="10" borderId="23" xfId="0" applyNumberFormat="1" applyFont="1" applyFill="1" applyBorder="1"/>
    <xf numFmtId="0" fontId="10" fillId="0" borderId="0" xfId="0" applyFont="1"/>
    <xf numFmtId="0" fontId="26" fillId="4" borderId="24" xfId="0" applyFont="1" applyFill="1" applyBorder="1"/>
    <xf numFmtId="0" fontId="27" fillId="4" borderId="25" xfId="0" applyFont="1" applyFill="1" applyBorder="1" applyAlignment="1">
      <alignment horizontal="center" wrapText="1"/>
    </xf>
    <xf numFmtId="0" fontId="27" fillId="10" borderId="24" xfId="0" applyFont="1" applyFill="1" applyBorder="1" applyAlignment="1">
      <alignment horizontal="center" wrapText="1"/>
    </xf>
    <xf numFmtId="0" fontId="26" fillId="11" borderId="18" xfId="0" applyFont="1" applyFill="1" applyBorder="1"/>
    <xf numFmtId="4" fontId="28" fillId="4" borderId="26" xfId="0" applyNumberFormat="1" applyFont="1" applyFill="1" applyBorder="1"/>
    <xf numFmtId="3" fontId="28" fillId="4" borderId="26" xfId="0" applyNumberFormat="1" applyFont="1" applyFill="1" applyBorder="1"/>
    <xf numFmtId="38" fontId="26" fillId="4" borderId="26" xfId="0" applyNumberFormat="1" applyFont="1" applyFill="1" applyBorder="1"/>
    <xf numFmtId="166" fontId="29" fillId="3" borderId="27" xfId="0" applyNumberFormat="1" applyFont="1" applyFill="1" applyBorder="1"/>
    <xf numFmtId="0" fontId="0" fillId="12" borderId="0" xfId="0" applyFill="1"/>
    <xf numFmtId="38" fontId="20" fillId="13" borderId="0" xfId="0" applyNumberFormat="1" applyFont="1" applyFill="1" applyBorder="1"/>
    <xf numFmtId="0" fontId="20" fillId="13" borderId="0" xfId="0" applyFont="1" applyFill="1" applyBorder="1"/>
    <xf numFmtId="38" fontId="26" fillId="3" borderId="26" xfId="0" applyNumberFormat="1" applyFont="1" applyFill="1" applyBorder="1"/>
    <xf numFmtId="0" fontId="27" fillId="4" borderId="0" xfId="0" applyFont="1" applyFill="1" applyBorder="1" applyAlignment="1">
      <alignment horizontal="center" wrapText="1"/>
    </xf>
    <xf numFmtId="38" fontId="26" fillId="4" borderId="0" xfId="0" applyNumberFormat="1" applyFont="1" applyFill="1" applyBorder="1"/>
    <xf numFmtId="40" fontId="26" fillId="14" borderId="23" xfId="0" applyNumberFormat="1" applyFont="1" applyFill="1" applyBorder="1"/>
    <xf numFmtId="38" fontId="26" fillId="15" borderId="26" xfId="0" applyNumberFormat="1" applyFont="1" applyFill="1" applyBorder="1"/>
    <xf numFmtId="166" fontId="29" fillId="3" borderId="28" xfId="0" applyNumberFormat="1" applyFont="1" applyFill="1" applyBorder="1"/>
    <xf numFmtId="0" fontId="0" fillId="3" borderId="24" xfId="0" applyFill="1" applyBorder="1"/>
    <xf numFmtId="0" fontId="27" fillId="11" borderId="28" xfId="0" applyFont="1" applyFill="1" applyBorder="1" applyAlignment="1">
      <alignment horizontal="center" wrapText="1"/>
    </xf>
    <xf numFmtId="0" fontId="26" fillId="9" borderId="26" xfId="0" applyFont="1" applyFill="1" applyBorder="1"/>
    <xf numFmtId="0" fontId="0" fillId="3" borderId="29" xfId="0" applyFill="1" applyBorder="1"/>
    <xf numFmtId="0" fontId="27" fillId="11" borderId="30" xfId="0" applyFont="1" applyFill="1" applyBorder="1" applyAlignment="1">
      <alignment horizontal="center" wrapText="1"/>
    </xf>
    <xf numFmtId="0" fontId="27" fillId="3" borderId="31" xfId="0" applyFont="1" applyFill="1" applyBorder="1" applyAlignment="1">
      <alignment horizontal="center" wrapText="1"/>
    </xf>
    <xf numFmtId="0" fontId="27" fillId="15" borderId="31" xfId="0" applyFont="1" applyFill="1" applyBorder="1" applyAlignment="1">
      <alignment horizontal="center" wrapText="1"/>
    </xf>
    <xf numFmtId="40" fontId="26" fillId="14" borderId="26" xfId="0" applyNumberFormat="1" applyFont="1" applyFill="1" applyBorder="1"/>
    <xf numFmtId="0" fontId="27" fillId="14" borderId="31" xfId="0" applyFont="1" applyFill="1" applyBorder="1" applyAlignment="1">
      <alignment horizontal="center" wrapText="1"/>
    </xf>
    <xf numFmtId="0" fontId="0" fillId="4" borderId="23" xfId="0" applyFill="1" applyBorder="1"/>
    <xf numFmtId="0" fontId="0" fillId="14" borderId="29" xfId="0" applyFill="1" applyBorder="1"/>
    <xf numFmtId="0" fontId="0" fillId="15" borderId="29" xfId="0" applyFill="1" applyBorder="1"/>
    <xf numFmtId="0" fontId="27" fillId="11" borderId="32" xfId="0" applyFont="1" applyFill="1" applyBorder="1" applyAlignment="1">
      <alignment horizontal="center" wrapText="1"/>
    </xf>
    <xf numFmtId="4" fontId="28" fillId="4" borderId="18" xfId="0" applyNumberFormat="1" applyFont="1" applyFill="1" applyBorder="1"/>
    <xf numFmtId="166" fontId="29" fillId="3" borderId="25" xfId="0" applyNumberFormat="1" applyFont="1" applyFill="1" applyBorder="1"/>
    <xf numFmtId="0" fontId="0" fillId="9" borderId="23" xfId="0" applyFill="1" applyBorder="1"/>
    <xf numFmtId="0" fontId="26" fillId="9" borderId="25" xfId="0" applyFont="1" applyFill="1" applyBorder="1"/>
    <xf numFmtId="38" fontId="20" fillId="14" borderId="0" xfId="0" applyNumberFormat="1" applyFont="1" applyFill="1" applyBorder="1"/>
    <xf numFmtId="0" fontId="20" fillId="9" borderId="0" xfId="0" applyFont="1" applyFill="1" applyBorder="1"/>
    <xf numFmtId="14" fontId="20" fillId="9" borderId="0" xfId="0" applyNumberFormat="1" applyFont="1" applyFill="1" applyBorder="1"/>
    <xf numFmtId="0" fontId="20" fillId="9" borderId="0" xfId="0" applyFont="1" applyFill="1"/>
    <xf numFmtId="38" fontId="17" fillId="4" borderId="0" xfId="0" applyNumberFormat="1" applyFont="1" applyFill="1"/>
    <xf numFmtId="38" fontId="21" fillId="2" borderId="21" xfId="0" applyNumberFormat="1" applyFont="1" applyFill="1" applyBorder="1"/>
    <xf numFmtId="0" fontId="22" fillId="3" borderId="13" xfId="0" applyFont="1" applyFill="1" applyBorder="1" applyAlignment="1">
      <alignment vertical="center" wrapText="1"/>
    </xf>
    <xf numFmtId="0" fontId="27" fillId="11" borderId="25" xfId="0" applyFont="1" applyFill="1" applyBorder="1" applyAlignment="1">
      <alignment horizontal="center" wrapText="1"/>
    </xf>
    <xf numFmtId="0" fontId="0" fillId="9" borderId="29" xfId="0" applyFill="1" applyBorder="1"/>
    <xf numFmtId="0" fontId="0" fillId="3" borderId="17" xfId="0" applyFill="1" applyBorder="1"/>
    <xf numFmtId="0" fontId="27" fillId="11" borderId="24" xfId="0" applyFont="1" applyFill="1" applyBorder="1" applyAlignment="1">
      <alignment horizontal="center" wrapText="1"/>
    </xf>
    <xf numFmtId="0" fontId="27" fillId="11" borderId="31" xfId="0" applyFont="1" applyFill="1" applyBorder="1" applyAlignment="1">
      <alignment horizontal="center" wrapText="1"/>
    </xf>
    <xf numFmtId="166" fontId="29" fillId="14" borderId="28" xfId="0" applyNumberFormat="1" applyFont="1" applyFill="1" applyBorder="1"/>
    <xf numFmtId="0" fontId="0" fillId="14" borderId="23" xfId="0" applyFill="1" applyBorder="1"/>
    <xf numFmtId="0" fontId="27" fillId="14" borderId="25" xfId="0" applyFont="1" applyFill="1" applyBorder="1" applyAlignment="1">
      <alignment horizontal="center" wrapText="1"/>
    </xf>
    <xf numFmtId="0" fontId="22" fillId="5" borderId="2" xfId="0" applyFont="1" applyFill="1" applyBorder="1" applyAlignment="1">
      <alignment horizontal="center" vertical="center" wrapText="1"/>
    </xf>
    <xf numFmtId="0" fontId="22" fillId="6" borderId="2" xfId="0" applyFont="1" applyFill="1" applyBorder="1" applyAlignment="1">
      <alignment horizontal="center" vertical="center" wrapText="1"/>
    </xf>
    <xf numFmtId="38" fontId="21" fillId="4" borderId="6" xfId="0" applyNumberFormat="1" applyFont="1" applyFill="1" applyBorder="1" applyAlignment="1">
      <alignment horizontal="right" vertical="center"/>
    </xf>
    <xf numFmtId="38" fontId="20" fillId="2" borderId="6" xfId="0" applyNumberFormat="1" applyFont="1" applyFill="1" applyBorder="1"/>
    <xf numFmtId="38" fontId="20" fillId="4" borderId="6" xfId="0" applyNumberFormat="1" applyFont="1" applyFill="1" applyBorder="1"/>
    <xf numFmtId="169" fontId="20" fillId="4" borderId="2" xfId="0" applyNumberFormat="1" applyFont="1" applyFill="1" applyBorder="1" applyAlignment="1">
      <alignment horizontal="left"/>
    </xf>
    <xf numFmtId="38" fontId="21" fillId="4" borderId="4" xfId="0" applyNumberFormat="1" applyFont="1" applyFill="1" applyBorder="1" applyAlignment="1">
      <alignment horizontal="right" vertical="center"/>
    </xf>
    <xf numFmtId="169" fontId="20" fillId="4" borderId="5" xfId="0" applyNumberFormat="1" applyFont="1" applyFill="1" applyBorder="1" applyAlignment="1">
      <alignment horizontal="left"/>
    </xf>
    <xf numFmtId="0" fontId="20" fillId="4" borderId="5" xfId="0" applyFont="1" applyFill="1" applyBorder="1"/>
    <xf numFmtId="0" fontId="20" fillId="0" borderId="5" xfId="0" applyFont="1" applyFill="1" applyBorder="1"/>
    <xf numFmtId="38" fontId="20" fillId="0" borderId="6" xfId="0" applyNumberFormat="1" applyFont="1" applyFill="1" applyBorder="1"/>
    <xf numFmtId="0" fontId="20" fillId="3" borderId="7" xfId="0" applyFont="1" applyFill="1" applyBorder="1"/>
    <xf numFmtId="38" fontId="20" fillId="3" borderId="9" xfId="0" applyNumberFormat="1" applyFont="1" applyFill="1" applyBorder="1"/>
    <xf numFmtId="8" fontId="0" fillId="0" borderId="0" xfId="0" applyNumberFormat="1"/>
    <xf numFmtId="0" fontId="20" fillId="13" borderId="0" xfId="0" applyFont="1" applyFill="1" applyBorder="1" applyAlignment="1"/>
    <xf numFmtId="0" fontId="0" fillId="11" borderId="0" xfId="0" applyFill="1"/>
    <xf numFmtId="0" fontId="0" fillId="17" borderId="0" xfId="0" applyFill="1"/>
    <xf numFmtId="0" fontId="20" fillId="4" borderId="6" xfId="0" applyFont="1" applyFill="1" applyBorder="1"/>
    <xf numFmtId="38" fontId="21" fillId="11" borderId="3" xfId="0" applyNumberFormat="1" applyFont="1" applyFill="1" applyBorder="1" applyAlignment="1">
      <alignment horizontal="right" vertical="center"/>
    </xf>
    <xf numFmtId="38" fontId="20" fillId="11" borderId="19" xfId="0" applyNumberFormat="1" applyFont="1" applyFill="1" applyBorder="1" applyAlignment="1">
      <alignment horizontal="right" vertical="center"/>
    </xf>
    <xf numFmtId="4" fontId="28" fillId="3" borderId="26" xfId="0" applyNumberFormat="1" applyFont="1" applyFill="1" applyBorder="1"/>
    <xf numFmtId="3" fontId="28" fillId="3" borderId="26" xfId="0" applyNumberFormat="1" applyFont="1" applyFill="1" applyBorder="1"/>
    <xf numFmtId="0" fontId="10" fillId="2" borderId="0" xfId="0" applyFont="1" applyFill="1"/>
    <xf numFmtId="166" fontId="0" fillId="3" borderId="24" xfId="0" applyNumberFormat="1" applyFill="1" applyBorder="1"/>
    <xf numFmtId="0" fontId="22" fillId="16" borderId="13" xfId="0" applyFont="1" applyFill="1" applyBorder="1" applyAlignment="1">
      <alignment horizontal="center" vertical="center"/>
    </xf>
    <xf numFmtId="40" fontId="0" fillId="2" borderId="0" xfId="0" applyNumberFormat="1" applyFill="1"/>
    <xf numFmtId="0" fontId="20" fillId="0" borderId="0" xfId="0" applyFont="1" applyFill="1" applyBorder="1" applyAlignment="1">
      <alignment horizontal="left" wrapText="1"/>
    </xf>
    <xf numFmtId="0" fontId="32" fillId="4" borderId="0" xfId="0" applyFont="1" applyFill="1" applyBorder="1" applyAlignment="1">
      <alignment horizontal="left" wrapText="1"/>
    </xf>
    <xf numFmtId="0" fontId="22" fillId="16" borderId="13" xfId="0" applyFont="1" applyFill="1" applyBorder="1" applyAlignment="1">
      <alignment horizontal="center" vertical="center"/>
    </xf>
    <xf numFmtId="168" fontId="20" fillId="4" borderId="0" xfId="0" applyNumberFormat="1" applyFont="1" applyFill="1" applyBorder="1"/>
    <xf numFmtId="168" fontId="20" fillId="4" borderId="0" xfId="0" applyNumberFormat="1" applyFont="1" applyFill="1"/>
    <xf numFmtId="0" fontId="18" fillId="2" borderId="0" xfId="0" applyFont="1" applyFill="1"/>
    <xf numFmtId="38" fontId="20" fillId="4" borderId="0" xfId="0" applyNumberFormat="1" applyFont="1" applyFill="1"/>
    <xf numFmtId="38" fontId="20" fillId="0" borderId="0" xfId="0" applyNumberFormat="1" applyFont="1" applyFill="1" applyBorder="1" applyAlignment="1">
      <alignment horizontal="left" wrapText="1"/>
    </xf>
    <xf numFmtId="38" fontId="20" fillId="9" borderId="0" xfId="0" applyNumberFormat="1" applyFont="1" applyFill="1"/>
    <xf numFmtId="38" fontId="32" fillId="4" borderId="0" xfId="0" applyNumberFormat="1" applyFont="1" applyFill="1" applyBorder="1" applyAlignment="1">
      <alignment horizontal="left" wrapText="1"/>
    </xf>
    <xf numFmtId="3" fontId="28" fillId="4" borderId="0" xfId="0" applyNumberFormat="1" applyFont="1" applyFill="1"/>
    <xf numFmtId="165" fontId="0" fillId="0" borderId="0" xfId="0" applyNumberFormat="1" applyBorder="1" applyAlignment="1" applyProtection="1">
      <alignment horizontal="right"/>
      <protection locked="0"/>
    </xf>
    <xf numFmtId="8" fontId="0" fillId="0" borderId="0" xfId="0" applyNumberFormat="1" applyBorder="1"/>
    <xf numFmtId="0" fontId="0" fillId="0" borderId="12" xfId="0" applyBorder="1"/>
    <xf numFmtId="0" fontId="0" fillId="0" borderId="19" xfId="0" applyBorder="1"/>
    <xf numFmtId="40" fontId="0" fillId="0" borderId="19" xfId="0" applyNumberFormat="1" applyBorder="1"/>
    <xf numFmtId="164" fontId="0" fillId="0" borderId="19" xfId="0" applyNumberFormat="1" applyBorder="1"/>
    <xf numFmtId="164" fontId="0" fillId="0" borderId="13" xfId="0" applyNumberFormat="1" applyBorder="1"/>
    <xf numFmtId="165" fontId="0" fillId="0" borderId="13" xfId="0" applyNumberFormat="1" applyFill="1" applyBorder="1" applyAlignment="1" applyProtection="1">
      <alignment horizontal="left"/>
      <protection locked="0"/>
    </xf>
    <xf numFmtId="172" fontId="34" fillId="0" borderId="17" xfId="1" applyNumberFormat="1" applyFont="1" applyBorder="1" applyAlignment="1">
      <alignment horizontal="right"/>
    </xf>
    <xf numFmtId="172" fontId="0" fillId="0" borderId="19" xfId="0" applyNumberFormat="1" applyBorder="1"/>
    <xf numFmtId="38" fontId="21" fillId="11" borderId="19" xfId="0" applyNumberFormat="1" applyFont="1" applyFill="1" applyBorder="1" applyAlignment="1">
      <alignment horizontal="right" vertical="center"/>
    </xf>
    <xf numFmtId="0" fontId="20" fillId="4" borderId="0" xfId="0" applyFont="1" applyFill="1" applyBorder="1" applyAlignment="1">
      <alignment horizontal="center" wrapText="1"/>
    </xf>
    <xf numFmtId="38" fontId="20" fillId="4" borderId="0" xfId="0" applyNumberFormat="1" applyFont="1" applyFill="1" applyBorder="1" applyAlignment="1">
      <alignment horizontal="center" wrapText="1"/>
    </xf>
    <xf numFmtId="44" fontId="20" fillId="4" borderId="12" xfId="0" applyNumberFormat="1" applyFont="1" applyFill="1" applyBorder="1" applyAlignment="1">
      <alignment horizontal="center" vertical="center" wrapText="1"/>
    </xf>
    <xf numFmtId="0" fontId="20" fillId="4" borderId="14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38" fontId="5" fillId="0" borderId="22" xfId="0" applyNumberFormat="1" applyFont="1" applyFill="1" applyBorder="1"/>
    <xf numFmtId="0" fontId="32" fillId="4" borderId="0" xfId="0" applyFont="1" applyFill="1" applyBorder="1" applyAlignment="1">
      <alignment horizontal="left" wrapText="1"/>
    </xf>
    <xf numFmtId="0" fontId="22" fillId="16" borderId="13" xfId="0" applyFont="1" applyFill="1" applyBorder="1" applyAlignment="1">
      <alignment horizontal="center" vertical="center"/>
    </xf>
    <xf numFmtId="0" fontId="22" fillId="16" borderId="12" xfId="0" applyFont="1" applyFill="1" applyBorder="1" applyAlignment="1">
      <alignment vertical="center"/>
    </xf>
    <xf numFmtId="0" fontId="18" fillId="5" borderId="0" xfId="0" applyFont="1" applyFill="1"/>
    <xf numFmtId="0" fontId="10" fillId="18" borderId="36" xfId="0" applyFont="1" applyFill="1" applyBorder="1" applyAlignment="1">
      <alignment vertical="center"/>
    </xf>
    <xf numFmtId="0" fontId="0" fillId="18" borderId="36" xfId="0" applyFill="1" applyBorder="1" applyAlignment="1">
      <alignment wrapText="1"/>
    </xf>
    <xf numFmtId="0" fontId="0" fillId="0" borderId="36" xfId="0" applyBorder="1" applyAlignment="1">
      <alignment wrapText="1"/>
    </xf>
    <xf numFmtId="0" fontId="0" fillId="19" borderId="36" xfId="0" applyFill="1" applyBorder="1" applyAlignment="1">
      <alignment wrapText="1"/>
    </xf>
    <xf numFmtId="0" fontId="27" fillId="18" borderId="37" xfId="0" applyFont="1" applyFill="1" applyBorder="1" applyAlignment="1">
      <alignment horizontal="center" wrapText="1"/>
    </xf>
    <xf numFmtId="0" fontId="27" fillId="18" borderId="38" xfId="0" applyFont="1" applyFill="1" applyBorder="1" applyAlignment="1">
      <alignment horizontal="center" wrapText="1"/>
    </xf>
    <xf numFmtId="0" fontId="0" fillId="18" borderId="38" xfId="0" applyFill="1" applyBorder="1" applyAlignment="1">
      <alignment wrapText="1"/>
    </xf>
    <xf numFmtId="0" fontId="27" fillId="18" borderId="38" xfId="0" applyFont="1" applyFill="1" applyBorder="1" applyAlignment="1">
      <alignment wrapText="1"/>
    </xf>
    <xf numFmtId="0" fontId="27" fillId="18" borderId="38" xfId="0" applyFont="1" applyFill="1" applyBorder="1" applyAlignment="1">
      <alignment horizontal="center" vertical="center" wrapText="1"/>
    </xf>
    <xf numFmtId="0" fontId="27" fillId="20" borderId="38" xfId="0" applyFont="1" applyFill="1" applyBorder="1" applyAlignment="1">
      <alignment horizontal="center" wrapText="1"/>
    </xf>
    <xf numFmtId="0" fontId="26" fillId="21" borderId="39" xfId="0" applyFont="1" applyFill="1" applyBorder="1" applyAlignment="1">
      <alignment wrapText="1"/>
    </xf>
    <xf numFmtId="0" fontId="0" fillId="18" borderId="39" xfId="0" applyFill="1" applyBorder="1" applyAlignment="1">
      <alignment wrapText="1"/>
    </xf>
    <xf numFmtId="4" fontId="26" fillId="18" borderId="39" xfId="0" applyNumberFormat="1" applyFont="1" applyFill="1" applyBorder="1" applyAlignment="1">
      <alignment horizontal="right" wrapText="1"/>
    </xf>
    <xf numFmtId="3" fontId="26" fillId="18" borderId="39" xfId="0" applyNumberFormat="1" applyFont="1" applyFill="1" applyBorder="1" applyAlignment="1">
      <alignment horizontal="right" wrapText="1"/>
    </xf>
    <xf numFmtId="4" fontId="26" fillId="20" borderId="38" xfId="0" applyNumberFormat="1" applyFont="1" applyFill="1" applyBorder="1" applyAlignment="1">
      <alignment horizontal="right" wrapText="1"/>
    </xf>
    <xf numFmtId="0" fontId="26" fillId="18" borderId="39" xfId="0" applyFont="1" applyFill="1" applyBorder="1" applyAlignment="1">
      <alignment horizontal="right" wrapText="1"/>
    </xf>
    <xf numFmtId="0" fontId="26" fillId="21" borderId="38" xfId="0" applyFont="1" applyFill="1" applyBorder="1" applyAlignment="1">
      <alignment wrapText="1"/>
    </xf>
    <xf numFmtId="4" fontId="26" fillId="18" borderId="38" xfId="0" applyNumberFormat="1" applyFont="1" applyFill="1" applyBorder="1" applyAlignment="1">
      <alignment horizontal="right" wrapText="1"/>
    </xf>
    <xf numFmtId="0" fontId="26" fillId="18" borderId="38" xfId="0" applyFont="1" applyFill="1" applyBorder="1" applyAlignment="1">
      <alignment horizontal="right" wrapText="1"/>
    </xf>
    <xf numFmtId="0" fontId="27" fillId="22" borderId="40" xfId="0" applyFont="1" applyFill="1" applyBorder="1" applyAlignment="1">
      <alignment wrapText="1"/>
    </xf>
    <xf numFmtId="8" fontId="27" fillId="22" borderId="41" xfId="0" applyNumberFormat="1" applyFont="1" applyFill="1" applyBorder="1" applyAlignment="1">
      <alignment horizontal="right" wrapText="1"/>
    </xf>
    <xf numFmtId="4" fontId="26" fillId="4" borderId="39" xfId="0" applyNumberFormat="1" applyFont="1" applyFill="1" applyBorder="1" applyAlignment="1">
      <alignment horizontal="right" wrapText="1"/>
    </xf>
    <xf numFmtId="0" fontId="26" fillId="4" borderId="39" xfId="0" applyFont="1" applyFill="1" applyBorder="1" applyAlignment="1">
      <alignment horizontal="right" wrapText="1"/>
    </xf>
    <xf numFmtId="3" fontId="26" fillId="18" borderId="0" xfId="0" applyNumberFormat="1" applyFont="1" applyFill="1" applyBorder="1" applyAlignment="1">
      <alignment horizontal="right" wrapText="1"/>
    </xf>
    <xf numFmtId="0" fontId="0" fillId="18" borderId="0" xfId="0" applyFill="1" applyBorder="1" applyAlignment="1">
      <alignment wrapText="1"/>
    </xf>
    <xf numFmtId="166" fontId="29" fillId="3" borderId="24" xfId="0" applyNumberFormat="1" applyFont="1" applyFill="1" applyBorder="1"/>
    <xf numFmtId="0" fontId="26" fillId="9" borderId="42" xfId="0" applyFont="1" applyFill="1" applyBorder="1"/>
    <xf numFmtId="0" fontId="27" fillId="3" borderId="1" xfId="0" applyFont="1" applyFill="1" applyBorder="1" applyAlignment="1">
      <alignment horizontal="center" wrapText="1"/>
    </xf>
    <xf numFmtId="4" fontId="26" fillId="4" borderId="43" xfId="0" applyNumberFormat="1" applyFont="1" applyFill="1" applyBorder="1" applyAlignment="1">
      <alignment horizontal="right" wrapText="1"/>
    </xf>
    <xf numFmtId="4" fontId="26" fillId="22" borderId="43" xfId="0" applyNumberFormat="1" applyFont="1" applyFill="1" applyBorder="1" applyAlignment="1">
      <alignment horizontal="right" wrapText="1"/>
    </xf>
    <xf numFmtId="0" fontId="26" fillId="22" borderId="43" xfId="0" applyFont="1" applyFill="1" applyBorder="1" applyAlignment="1">
      <alignment horizontal="right" wrapText="1"/>
    </xf>
    <xf numFmtId="0" fontId="0" fillId="18" borderId="43" xfId="0" applyFill="1" applyBorder="1" applyAlignment="1">
      <alignment wrapText="1"/>
    </xf>
    <xf numFmtId="4" fontId="26" fillId="18" borderId="43" xfId="0" applyNumberFormat="1" applyFont="1" applyFill="1" applyBorder="1" applyAlignment="1">
      <alignment horizontal="right" wrapText="1"/>
    </xf>
    <xf numFmtId="3" fontId="26" fillId="18" borderId="43" xfId="0" applyNumberFormat="1" applyFont="1" applyFill="1" applyBorder="1" applyAlignment="1">
      <alignment horizontal="right" wrapText="1"/>
    </xf>
    <xf numFmtId="0" fontId="27" fillId="11" borderId="28" xfId="0" applyFont="1" applyFill="1" applyBorder="1" applyAlignment="1">
      <alignment horizontal="center" vertical="center" wrapText="1"/>
    </xf>
    <xf numFmtId="38" fontId="0" fillId="0" borderId="0" xfId="0" applyNumberFormat="1"/>
    <xf numFmtId="0" fontId="26" fillId="2" borderId="39" xfId="0" applyFont="1" applyFill="1" applyBorder="1" applyAlignment="1">
      <alignment wrapText="1"/>
    </xf>
    <xf numFmtId="4" fontId="26" fillId="2" borderId="39" xfId="0" applyNumberFormat="1" applyFont="1" applyFill="1" applyBorder="1" applyAlignment="1">
      <alignment horizontal="right" wrapText="1"/>
    </xf>
    <xf numFmtId="0" fontId="26" fillId="2" borderId="39" xfId="0" applyFont="1" applyFill="1" applyBorder="1" applyAlignment="1">
      <alignment horizontal="right" wrapText="1"/>
    </xf>
    <xf numFmtId="0" fontId="0" fillId="2" borderId="39" xfId="0" applyFill="1" applyBorder="1" applyAlignment="1">
      <alignment wrapText="1"/>
    </xf>
    <xf numFmtId="3" fontId="26" fillId="2" borderId="39" xfId="0" applyNumberFormat="1" applyFont="1" applyFill="1" applyBorder="1" applyAlignment="1">
      <alignment horizontal="right" wrapText="1"/>
    </xf>
    <xf numFmtId="44" fontId="26" fillId="14" borderId="26" xfId="2" applyFont="1" applyFill="1" applyBorder="1"/>
    <xf numFmtId="0" fontId="0" fillId="0" borderId="17" xfId="0" applyBorder="1"/>
    <xf numFmtId="166" fontId="0" fillId="0" borderId="17" xfId="0" applyNumberFormat="1" applyBorder="1"/>
    <xf numFmtId="44" fontId="0" fillId="0" borderId="17" xfId="2" applyFont="1" applyBorder="1"/>
    <xf numFmtId="0" fontId="0" fillId="0" borderId="35" xfId="0" applyBorder="1"/>
    <xf numFmtId="166" fontId="0" fillId="0" borderId="35" xfId="0" applyNumberFormat="1" applyBorder="1"/>
    <xf numFmtId="0" fontId="0" fillId="0" borderId="0" xfId="0" applyFill="1" applyBorder="1" applyAlignment="1">
      <alignment horizontal="right"/>
    </xf>
    <xf numFmtId="167" fontId="0" fillId="0" borderId="17" xfId="2" applyNumberFormat="1" applyFont="1" applyBorder="1"/>
    <xf numFmtId="167" fontId="0" fillId="0" borderId="35" xfId="2" applyNumberFormat="1" applyFont="1" applyBorder="1"/>
    <xf numFmtId="167" fontId="0" fillId="0" borderId="0" xfId="2" applyNumberFormat="1" applyFont="1"/>
    <xf numFmtId="0" fontId="8" fillId="0" borderId="0" xfId="0" applyFont="1" applyAlignment="1">
      <alignment horizontal="center" wrapText="1"/>
    </xf>
    <xf numFmtId="0" fontId="30" fillId="0" borderId="0" xfId="0" applyFont="1" applyAlignment="1">
      <alignment wrapText="1"/>
    </xf>
    <xf numFmtId="0" fontId="0" fillId="2" borderId="0" xfId="0" applyFill="1" applyAlignment="1">
      <alignment horizont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33" xfId="0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0" fillId="5" borderId="33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31" fillId="0" borderId="0" xfId="0" applyFont="1" applyAlignment="1">
      <alignment wrapText="1"/>
    </xf>
    <xf numFmtId="0" fontId="32" fillId="4" borderId="0" xfId="0" applyFont="1" applyFill="1" applyBorder="1" applyAlignment="1">
      <alignment wrapText="1"/>
    </xf>
    <xf numFmtId="0" fontId="20" fillId="14" borderId="0" xfId="0" applyFont="1" applyFill="1" applyBorder="1" applyAlignment="1">
      <alignment horizontal="left" wrapText="1"/>
    </xf>
    <xf numFmtId="0" fontId="22" fillId="3" borderId="12" xfId="0" applyFont="1" applyFill="1" applyBorder="1" applyAlignment="1">
      <alignment horizontal="center" vertical="center"/>
    </xf>
    <xf numFmtId="0" fontId="22" fillId="3" borderId="19" xfId="0" applyFont="1" applyFill="1" applyBorder="1" applyAlignment="1">
      <alignment horizontal="center" vertical="center"/>
    </xf>
    <xf numFmtId="0" fontId="22" fillId="3" borderId="13" xfId="0" applyFont="1" applyFill="1" applyBorder="1" applyAlignment="1">
      <alignment horizontal="center" vertical="center"/>
    </xf>
    <xf numFmtId="0" fontId="32" fillId="4" borderId="0" xfId="0" applyFont="1" applyFill="1" applyBorder="1" applyAlignment="1">
      <alignment horizontal="left" wrapText="1"/>
    </xf>
    <xf numFmtId="0" fontId="31" fillId="0" borderId="0" xfId="0" applyFont="1" applyAlignment="1">
      <alignment horizontal="left"/>
    </xf>
    <xf numFmtId="0" fontId="22" fillId="3" borderId="12" xfId="0" applyFont="1" applyFill="1" applyBorder="1" applyAlignment="1">
      <alignment horizontal="center" vertical="center" wrapText="1"/>
    </xf>
    <xf numFmtId="0" fontId="22" fillId="3" borderId="19" xfId="0" applyFont="1" applyFill="1" applyBorder="1" applyAlignment="1">
      <alignment horizontal="center" vertical="center" wrapText="1"/>
    </xf>
    <xf numFmtId="0" fontId="22" fillId="16" borderId="19" xfId="0" applyFont="1" applyFill="1" applyBorder="1" applyAlignment="1">
      <alignment horizontal="center" vertical="center"/>
    </xf>
    <xf numFmtId="0" fontId="22" fillId="16" borderId="13" xfId="0" applyFont="1" applyFill="1" applyBorder="1" applyAlignment="1">
      <alignment horizontal="center" vertical="center"/>
    </xf>
    <xf numFmtId="14" fontId="20" fillId="4" borderId="0" xfId="0" applyNumberFormat="1" applyFont="1" applyFill="1" applyBorder="1" applyAlignment="1">
      <alignment horizontal="center"/>
    </xf>
    <xf numFmtId="0" fontId="33" fillId="11" borderId="30" xfId="0" applyFont="1" applyFill="1" applyBorder="1" applyAlignment="1">
      <alignment horizontal="center"/>
    </xf>
    <xf numFmtId="0" fontId="33" fillId="11" borderId="35" xfId="0" applyFont="1" applyFill="1" applyBorder="1" applyAlignment="1">
      <alignment horizontal="center"/>
    </xf>
    <xf numFmtId="0" fontId="33" fillId="11" borderId="32" xfId="0" applyFont="1" applyFill="1" applyBorder="1" applyAlignment="1">
      <alignment horizontal="center"/>
    </xf>
    <xf numFmtId="0" fontId="0" fillId="11" borderId="35" xfId="0" applyFill="1" applyBorder="1" applyAlignment="1">
      <alignment horizontal="center"/>
    </xf>
    <xf numFmtId="0" fontId="33" fillId="11" borderId="29" xfId="0" applyFont="1" applyFill="1" applyBorder="1" applyAlignment="1">
      <alignment horizontal="center"/>
    </xf>
    <xf numFmtId="0" fontId="33" fillId="11" borderId="17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29396325459315"/>
          <c:y val="7.4808453821321105E-2"/>
          <c:w val="0.6396795713035871"/>
          <c:h val="0.7012933139455128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'Expense Scenarios'!$C$48:$C$60</c:f>
              <c:strCache>
                <c:ptCount val="13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  <c:pt idx="12">
                  <c:v>Period 13</c:v>
                </c:pt>
              </c:strCache>
            </c:strRef>
          </c:cat>
          <c:val>
            <c:numRef>
              <c:f>'Expense Scenarios'!$D$48:$D$60</c:f>
              <c:numCache>
                <c:formatCode>"$"#,##0.00;[Red]"$"#,##0.00</c:formatCode>
                <c:ptCount val="13"/>
                <c:pt idx="0">
                  <c:v>0</c:v>
                </c:pt>
                <c:pt idx="1">
                  <c:v>58364.709999999992</c:v>
                </c:pt>
                <c:pt idx="2">
                  <c:v>16634.145</c:v>
                </c:pt>
                <c:pt idx="3">
                  <c:v>194136.63499999998</c:v>
                </c:pt>
                <c:pt idx="4">
                  <c:v>113967.76</c:v>
                </c:pt>
                <c:pt idx="5">
                  <c:v>59661.275000000001</c:v>
                </c:pt>
                <c:pt idx="6">
                  <c:v>26241.72</c:v>
                </c:pt>
                <c:pt idx="7">
                  <c:v>5057.9400000000005</c:v>
                </c:pt>
                <c:pt idx="8">
                  <c:v>177082.9</c:v>
                </c:pt>
                <c:pt idx="9">
                  <c:v>131680.29499999998</c:v>
                </c:pt>
                <c:pt idx="10">
                  <c:v>135275.25</c:v>
                </c:pt>
                <c:pt idx="11">
                  <c:v>27632.100000000002</c:v>
                </c:pt>
                <c:pt idx="12" formatCode="&quot;$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90-4876-81EC-524AA0490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9036719"/>
        <c:axId val="1"/>
      </c:barChart>
      <c:catAx>
        <c:axId val="14790367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&quot;$&quot;#,##0.00;[Red]&quot;$&quot;#,##0.00" sourceLinked="1"/>
        <c:majorTickMark val="out"/>
        <c:minorTickMark val="none"/>
        <c:tickLblPos val="nextTo"/>
        <c:crossAx val="1479036719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'Expense Scenarios'!$D$47</c:f>
              <c:strCache>
                <c:ptCount val="1"/>
                <c:pt idx="0">
                  <c:v>Avg Fy14 -15</c:v>
                </c:pt>
              </c:strCache>
            </c:strRef>
          </c:tx>
          <c:invertIfNegative val="0"/>
          <c:cat>
            <c:strRef>
              <c:f>'Expense Scenarios'!$C$48:$C$60</c:f>
              <c:strCache>
                <c:ptCount val="13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  <c:pt idx="12">
                  <c:v>Period 13</c:v>
                </c:pt>
              </c:strCache>
            </c:strRef>
          </c:cat>
          <c:val>
            <c:numRef>
              <c:f>'Expense Scenarios'!$D$48:$D$60</c:f>
              <c:numCache>
                <c:formatCode>"$"#,##0.00;[Red]"$"#,##0.00</c:formatCode>
                <c:ptCount val="13"/>
                <c:pt idx="0">
                  <c:v>0</c:v>
                </c:pt>
                <c:pt idx="1">
                  <c:v>58364.709999999992</c:v>
                </c:pt>
                <c:pt idx="2">
                  <c:v>16634.145</c:v>
                </c:pt>
                <c:pt idx="3">
                  <c:v>194136.63499999998</c:v>
                </c:pt>
                <c:pt idx="4">
                  <c:v>113967.76</c:v>
                </c:pt>
                <c:pt idx="5">
                  <c:v>59661.275000000001</c:v>
                </c:pt>
                <c:pt idx="6">
                  <c:v>26241.72</c:v>
                </c:pt>
                <c:pt idx="7">
                  <c:v>5057.9400000000005</c:v>
                </c:pt>
                <c:pt idx="8">
                  <c:v>177082.9</c:v>
                </c:pt>
                <c:pt idx="9">
                  <c:v>131680.29499999998</c:v>
                </c:pt>
                <c:pt idx="10">
                  <c:v>135275.25</c:v>
                </c:pt>
                <c:pt idx="11">
                  <c:v>27632.100000000002</c:v>
                </c:pt>
                <c:pt idx="12" formatCode="&quot;$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BA-45B1-B3CB-AFD12230B351}"/>
            </c:ext>
          </c:extLst>
        </c:ser>
        <c:ser>
          <c:idx val="1"/>
          <c:order val="1"/>
          <c:tx>
            <c:strRef>
              <c:f>'Expense Scenarios'!$E$47</c:f>
              <c:strCache>
                <c:ptCount val="1"/>
                <c:pt idx="0">
                  <c:v>Avg Fy13 -15</c:v>
                </c:pt>
              </c:strCache>
            </c:strRef>
          </c:tx>
          <c:invertIfNegative val="0"/>
          <c:cat>
            <c:strRef>
              <c:f>'Expense Scenarios'!$C$48:$C$60</c:f>
              <c:strCache>
                <c:ptCount val="13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  <c:pt idx="12">
                  <c:v>Period 13</c:v>
                </c:pt>
              </c:strCache>
            </c:strRef>
          </c:cat>
          <c:val>
            <c:numRef>
              <c:f>'Expense Scenarios'!$E$48:$E$60</c:f>
              <c:numCache>
                <c:formatCode>_("$"* #,##0.00_);_("$"* \(#,##0.00\);_("$"* "-"??_);_(@_)</c:formatCode>
                <c:ptCount val="13"/>
                <c:pt idx="0">
                  <c:v>0</c:v>
                </c:pt>
                <c:pt idx="1">
                  <c:v>93119.776666666658</c:v>
                </c:pt>
                <c:pt idx="2">
                  <c:v>25146.196666666667</c:v>
                </c:pt>
                <c:pt idx="3">
                  <c:v>141718.61666666667</c:v>
                </c:pt>
                <c:pt idx="4" formatCode="#,##0.00_);[Red]\(#,##0.00\)">
                  <c:v>83477.16333333333</c:v>
                </c:pt>
                <c:pt idx="5">
                  <c:v>54347.170000000006</c:v>
                </c:pt>
                <c:pt idx="6">
                  <c:v>17494.48</c:v>
                </c:pt>
                <c:pt idx="7">
                  <c:v>9770.1466666666693</c:v>
                </c:pt>
                <c:pt idx="8">
                  <c:v>155171.69</c:v>
                </c:pt>
                <c:pt idx="9">
                  <c:v>88604.893333333326</c:v>
                </c:pt>
                <c:pt idx="10">
                  <c:v>177034.74666666667</c:v>
                </c:pt>
                <c:pt idx="11">
                  <c:v>22306.966666666671</c:v>
                </c:pt>
                <c:pt idx="12">
                  <c:v>10238.886666666667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BA-45B1-B3CB-AFD12230B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9032143"/>
        <c:axId val="1"/>
      </c:barChart>
      <c:catAx>
        <c:axId val="14790321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&quot;$&quot;#,##0.00;[Red]&quot;$&quot;#,##0.00" sourceLinked="1"/>
        <c:majorTickMark val="out"/>
        <c:minorTickMark val="none"/>
        <c:tickLblPos val="nextTo"/>
        <c:crossAx val="1479032143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43</xdr:row>
      <xdr:rowOff>38100</xdr:rowOff>
    </xdr:from>
    <xdr:to>
      <xdr:col>10</xdr:col>
      <xdr:colOff>533400</xdr:colOff>
      <xdr:row>57</xdr:row>
      <xdr:rowOff>104775</xdr:rowOff>
    </xdr:to>
    <xdr:graphicFrame macro="">
      <xdr:nvGraphicFramePr>
        <xdr:cNvPr id="449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723900</xdr:colOff>
      <xdr:row>43</xdr:row>
      <xdr:rowOff>9525</xdr:rowOff>
    </xdr:from>
    <xdr:to>
      <xdr:col>16</xdr:col>
      <xdr:colOff>209550</xdr:colOff>
      <xdr:row>57</xdr:row>
      <xdr:rowOff>85725</xdr:rowOff>
    </xdr:to>
    <xdr:graphicFrame macro="">
      <xdr:nvGraphicFramePr>
        <xdr:cNvPr id="449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EAC%20Fund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Y 05-06"/>
      <sheetName val="FY 06-07"/>
      <sheetName val="FY 07-08"/>
      <sheetName val="FY 08-09"/>
      <sheetName val="FY 09-10 "/>
      <sheetName val="FY 10-11"/>
      <sheetName val="FY 11-12"/>
      <sheetName val="FY 12-13"/>
      <sheetName val="FY 13-14"/>
      <sheetName val="FY 14-15"/>
      <sheetName val="FY 15-16"/>
      <sheetName val="FY 16-17"/>
      <sheetName val="FY 17-18"/>
      <sheetName val="FY 18-19"/>
      <sheetName val="FY 19-20"/>
      <sheetName val="FY 20-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8">
          <cell r="C18">
            <v>277852.5</v>
          </cell>
          <cell r="D18">
            <v>348065</v>
          </cell>
          <cell r="E18">
            <v>202965</v>
          </cell>
        </row>
        <row r="49">
          <cell r="C49">
            <v>406683.24</v>
          </cell>
          <cell r="D49">
            <v>171165.44999999998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35"/>
  <sheetViews>
    <sheetView topLeftCell="A25" workbookViewId="0">
      <selection activeCell="F30" sqref="F30"/>
    </sheetView>
  </sheetViews>
  <sheetFormatPr defaultRowHeight="15" x14ac:dyDescent="0.25"/>
  <cols>
    <col min="2" max="2" width="23" customWidth="1"/>
  </cols>
  <sheetData>
    <row r="1" spans="1:3" ht="21" x14ac:dyDescent="0.35">
      <c r="A1" s="21" t="s">
        <v>19</v>
      </c>
    </row>
    <row r="3" spans="1:3" x14ac:dyDescent="0.25">
      <c r="B3" s="5"/>
      <c r="C3" s="5"/>
    </row>
    <row r="4" spans="1:3" x14ac:dyDescent="0.25">
      <c r="B4" s="27">
        <v>971796</v>
      </c>
      <c r="C4" t="s">
        <v>52</v>
      </c>
    </row>
    <row r="5" spans="1:3" x14ac:dyDescent="0.25">
      <c r="B5" s="27">
        <v>865301.75</v>
      </c>
      <c r="C5" t="s">
        <v>27</v>
      </c>
    </row>
    <row r="6" spans="1:3" ht="15.75" thickBot="1" x14ac:dyDescent="0.3">
      <c r="B6" s="28">
        <f>SUM(B4:B5)</f>
        <v>1837097.75</v>
      </c>
    </row>
    <row r="7" spans="1:3" ht="15.75" thickTop="1" x14ac:dyDescent="0.25">
      <c r="B7" s="27"/>
    </row>
    <row r="8" spans="1:3" x14ac:dyDescent="0.25">
      <c r="B8" s="27">
        <v>-863292</v>
      </c>
      <c r="C8" t="s">
        <v>16</v>
      </c>
    </row>
    <row r="9" spans="1:3" x14ac:dyDescent="0.25">
      <c r="B9" s="27">
        <v>-836662.57</v>
      </c>
      <c r="C9" t="s">
        <v>28</v>
      </c>
    </row>
    <row r="10" spans="1:3" x14ac:dyDescent="0.25">
      <c r="B10" s="22"/>
    </row>
    <row r="11" spans="1:3" x14ac:dyDescent="0.25">
      <c r="B11" s="22"/>
    </row>
    <row r="12" spans="1:3" ht="19.5" thickBot="1" x14ac:dyDescent="0.35">
      <c r="B12" s="23">
        <f>SUM(B6:B10)</f>
        <v>137143.18000000005</v>
      </c>
      <c r="C12" s="20" t="s">
        <v>18</v>
      </c>
    </row>
    <row r="13" spans="1:3" ht="15.75" thickTop="1" x14ac:dyDescent="0.25"/>
    <row r="15" spans="1:3" x14ac:dyDescent="0.25">
      <c r="A15" t="s">
        <v>26</v>
      </c>
    </row>
    <row r="18" spans="1:3" x14ac:dyDescent="0.25">
      <c r="A18" s="5" t="s">
        <v>23</v>
      </c>
    </row>
    <row r="19" spans="1:3" x14ac:dyDescent="0.25">
      <c r="B19" s="22">
        <f>SUM(B5:B5)</f>
        <v>865301.75</v>
      </c>
      <c r="C19" t="s">
        <v>20</v>
      </c>
    </row>
    <row r="20" spans="1:3" x14ac:dyDescent="0.25">
      <c r="B20" s="22">
        <f>SUM(B9:B10)</f>
        <v>-836662.57</v>
      </c>
      <c r="C20" t="s">
        <v>21</v>
      </c>
    </row>
    <row r="21" spans="1:3" ht="15.75" thickBot="1" x14ac:dyDescent="0.3">
      <c r="B21" s="26">
        <f>B19+B20</f>
        <v>28639.180000000051</v>
      </c>
      <c r="C21" s="5" t="s">
        <v>22</v>
      </c>
    </row>
    <row r="22" spans="1:3" ht="15.75" thickTop="1" x14ac:dyDescent="0.25"/>
    <row r="24" spans="1:3" x14ac:dyDescent="0.25">
      <c r="A24" s="25"/>
    </row>
    <row r="26" spans="1:3" hidden="1" x14ac:dyDescent="0.25">
      <c r="A26" s="24" t="s">
        <v>24</v>
      </c>
    </row>
    <row r="27" spans="1:3" hidden="1" x14ac:dyDescent="0.25">
      <c r="A27" s="24" t="s">
        <v>25</v>
      </c>
    </row>
    <row r="33" spans="1:3" hidden="1" x14ac:dyDescent="0.25">
      <c r="A33" s="27" t="s">
        <v>46</v>
      </c>
      <c r="C33" s="3">
        <v>116773</v>
      </c>
    </row>
    <row r="34" spans="1:3" hidden="1" x14ac:dyDescent="0.25">
      <c r="A34" s="27" t="s">
        <v>47</v>
      </c>
      <c r="C34" s="34">
        <v>1.49E-2</v>
      </c>
    </row>
    <row r="35" spans="1:3" hidden="1" x14ac:dyDescent="0.25"/>
  </sheetData>
  <pageMargins left="0.7" right="0.7" top="0.75" bottom="0.75" header="0.3" footer="0.3"/>
  <pageSetup orientation="portrait" verticalDpi="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57"/>
  <sheetViews>
    <sheetView topLeftCell="A49" workbookViewId="0">
      <selection activeCell="H70" sqref="H70:I70"/>
    </sheetView>
  </sheetViews>
  <sheetFormatPr defaultRowHeight="15" x14ac:dyDescent="0.25"/>
  <cols>
    <col min="1" max="1" width="4" customWidth="1"/>
    <col min="2" max="2" width="9.85546875" customWidth="1"/>
    <col min="3" max="3" width="10.5703125" customWidth="1"/>
    <col min="4" max="4" width="11.28515625" customWidth="1"/>
    <col min="5" max="5" width="11" customWidth="1"/>
    <col min="6" max="6" width="12.28515625" customWidth="1"/>
    <col min="7" max="7" width="13.7109375" customWidth="1"/>
    <col min="8" max="8" width="11.85546875" customWidth="1"/>
    <col min="9" max="9" width="10.5703125" customWidth="1"/>
    <col min="10" max="10" width="12.7109375" customWidth="1"/>
    <col min="11" max="11" width="10.85546875" customWidth="1"/>
    <col min="12" max="12" width="19.140625" customWidth="1"/>
    <col min="13" max="13" width="12" customWidth="1"/>
    <col min="14" max="14" width="14.140625" customWidth="1"/>
    <col min="15" max="15" width="15" customWidth="1"/>
    <col min="16" max="16" width="4" customWidth="1"/>
  </cols>
  <sheetData>
    <row r="2" spans="2:15" ht="23.25" x14ac:dyDescent="0.35">
      <c r="B2" s="131" t="s">
        <v>201</v>
      </c>
      <c r="C2" s="131"/>
      <c r="D2" s="131"/>
    </row>
    <row r="3" spans="2:15" x14ac:dyDescent="0.25">
      <c r="B3" s="174"/>
      <c r="C3" s="318" t="s">
        <v>170</v>
      </c>
      <c r="D3" s="319"/>
      <c r="E3" s="319"/>
      <c r="F3" s="319"/>
      <c r="G3" s="319"/>
      <c r="H3" s="319"/>
      <c r="I3" s="319"/>
      <c r="J3" s="319"/>
      <c r="K3" s="319"/>
      <c r="L3" s="320"/>
      <c r="M3" s="175"/>
      <c r="N3" s="179"/>
      <c r="O3" s="179"/>
    </row>
    <row r="4" spans="2:15" ht="51.75" x14ac:dyDescent="0.25">
      <c r="B4" s="151"/>
      <c r="C4" s="176" t="s">
        <v>135</v>
      </c>
      <c r="D4" s="173" t="s">
        <v>142</v>
      </c>
      <c r="E4" s="173" t="s">
        <v>175</v>
      </c>
      <c r="F4" s="173" t="s">
        <v>144</v>
      </c>
      <c r="G4" s="173" t="s">
        <v>176</v>
      </c>
      <c r="H4" s="173" t="s">
        <v>177</v>
      </c>
      <c r="I4" s="173" t="s">
        <v>145</v>
      </c>
      <c r="J4" s="173" t="s">
        <v>160</v>
      </c>
      <c r="K4" s="177" t="s">
        <v>161</v>
      </c>
      <c r="L4" s="173" t="s">
        <v>162</v>
      </c>
      <c r="M4" s="154" t="s">
        <v>203</v>
      </c>
      <c r="N4" s="180" t="s">
        <v>147</v>
      </c>
      <c r="O4" s="180" t="s">
        <v>185</v>
      </c>
    </row>
    <row r="5" spans="2:15" ht="14.45" customHeight="1" x14ac:dyDescent="0.25">
      <c r="B5" s="151" t="s">
        <v>31</v>
      </c>
      <c r="C5" s="162">
        <v>20115.830000000002</v>
      </c>
      <c r="D5" s="137">
        <v>4945</v>
      </c>
      <c r="E5" s="137"/>
      <c r="F5" s="137"/>
      <c r="G5" s="137">
        <v>8280</v>
      </c>
      <c r="H5" s="137"/>
      <c r="I5" s="136">
        <v>3823.75</v>
      </c>
      <c r="J5" s="137">
        <v>466000</v>
      </c>
      <c r="K5" s="138">
        <v>3000</v>
      </c>
      <c r="L5" s="138" t="s">
        <v>178</v>
      </c>
      <c r="M5" s="143"/>
      <c r="N5" s="156">
        <f t="shared" ref="N5:N16" si="0">SUM(C5:M5)</f>
        <v>506164.58</v>
      </c>
      <c r="O5" s="156">
        <v>506164.58</v>
      </c>
    </row>
    <row r="6" spans="2:15" x14ac:dyDescent="0.25">
      <c r="B6" s="151" t="s">
        <v>33</v>
      </c>
      <c r="C6" s="162">
        <v>20115.830000000002</v>
      </c>
      <c r="D6" s="137">
        <v>4945</v>
      </c>
      <c r="E6" s="137"/>
      <c r="F6" s="137"/>
      <c r="G6" s="137"/>
      <c r="H6" s="137"/>
      <c r="I6" s="136">
        <v>3823.75</v>
      </c>
      <c r="J6" s="137"/>
      <c r="K6" s="138"/>
      <c r="L6" s="138"/>
      <c r="M6" s="143">
        <v>5000</v>
      </c>
      <c r="N6" s="146">
        <f t="shared" si="0"/>
        <v>33884.58</v>
      </c>
      <c r="O6" s="146">
        <v>33884.58</v>
      </c>
    </row>
    <row r="7" spans="2:15" x14ac:dyDescent="0.25">
      <c r="B7" s="151" t="s">
        <v>34</v>
      </c>
      <c r="C7" s="162">
        <v>20115.830000000002</v>
      </c>
      <c r="D7" s="137">
        <v>4945</v>
      </c>
      <c r="E7" s="137"/>
      <c r="F7" s="137"/>
      <c r="G7" s="137"/>
      <c r="H7" s="137"/>
      <c r="I7" s="136">
        <v>3823.75</v>
      </c>
      <c r="J7" s="137"/>
      <c r="K7" s="138"/>
      <c r="L7" s="138"/>
      <c r="M7" s="143"/>
      <c r="N7" s="146">
        <f t="shared" si="0"/>
        <v>28884.58</v>
      </c>
      <c r="O7" s="146">
        <v>28884.58</v>
      </c>
    </row>
    <row r="8" spans="2:15" ht="14.45" customHeight="1" x14ac:dyDescent="0.25">
      <c r="B8" s="151" t="s">
        <v>35</v>
      </c>
      <c r="C8" s="162">
        <v>20115.830000000002</v>
      </c>
      <c r="D8" s="137">
        <v>4945</v>
      </c>
      <c r="E8" s="137"/>
      <c r="F8" s="137"/>
      <c r="G8" s="137"/>
      <c r="H8" s="137"/>
      <c r="I8" s="136">
        <v>3823.75</v>
      </c>
      <c r="J8" s="137"/>
      <c r="K8" s="138">
        <v>100000</v>
      </c>
      <c r="L8" s="138" t="s">
        <v>180</v>
      </c>
      <c r="M8" s="143">
        <v>5000</v>
      </c>
      <c r="N8" s="146">
        <f t="shared" si="0"/>
        <v>133884.58000000002</v>
      </c>
      <c r="O8" s="146">
        <v>133884.58000000002</v>
      </c>
    </row>
    <row r="9" spans="2:15" x14ac:dyDescent="0.25">
      <c r="B9" s="151" t="s">
        <v>36</v>
      </c>
      <c r="C9" s="162">
        <v>20115.830000000002</v>
      </c>
      <c r="D9" s="137">
        <v>4945</v>
      </c>
      <c r="E9" s="137">
        <v>2300</v>
      </c>
      <c r="F9" s="137"/>
      <c r="G9" s="137"/>
      <c r="H9" s="137"/>
      <c r="I9" s="136">
        <v>3823.75</v>
      </c>
      <c r="J9" s="137"/>
      <c r="K9" s="138">
        <v>150000</v>
      </c>
      <c r="L9" s="138" t="s">
        <v>180</v>
      </c>
      <c r="M9" s="143"/>
      <c r="N9" s="146">
        <f t="shared" si="0"/>
        <v>181184.58000000002</v>
      </c>
      <c r="O9" s="146">
        <v>181184.58000000002</v>
      </c>
    </row>
    <row r="10" spans="2:15" x14ac:dyDescent="0.25">
      <c r="B10" s="151" t="s">
        <v>37</v>
      </c>
      <c r="C10" s="162">
        <v>20115.830000000002</v>
      </c>
      <c r="D10" s="137">
        <v>4945</v>
      </c>
      <c r="E10" s="137">
        <v>2300</v>
      </c>
      <c r="F10" s="137">
        <v>5750</v>
      </c>
      <c r="G10" s="137"/>
      <c r="H10" s="137">
        <v>4830</v>
      </c>
      <c r="I10" s="136">
        <v>3823.75</v>
      </c>
      <c r="J10" s="137"/>
      <c r="K10" s="138"/>
      <c r="L10" s="138" t="s">
        <v>179</v>
      </c>
      <c r="M10" s="143">
        <v>5000</v>
      </c>
      <c r="N10" s="146">
        <f t="shared" si="0"/>
        <v>46764.58</v>
      </c>
      <c r="O10" s="146">
        <v>46764.58</v>
      </c>
    </row>
    <row r="11" spans="2:15" x14ac:dyDescent="0.25">
      <c r="B11" s="151" t="s">
        <v>38</v>
      </c>
      <c r="C11" s="162">
        <v>20115.830000000002</v>
      </c>
      <c r="D11" s="137">
        <v>17442</v>
      </c>
      <c r="E11" s="137">
        <v>2300</v>
      </c>
      <c r="F11" s="137">
        <v>5750</v>
      </c>
      <c r="G11" s="137"/>
      <c r="H11" s="137"/>
      <c r="I11" s="136">
        <v>5740</v>
      </c>
      <c r="J11" s="137"/>
      <c r="K11" s="138">
        <v>125000</v>
      </c>
      <c r="L11" s="138"/>
      <c r="M11" s="143"/>
      <c r="N11" s="146">
        <f t="shared" si="0"/>
        <v>176347.83000000002</v>
      </c>
      <c r="O11" s="146">
        <v>176347.83000000002</v>
      </c>
    </row>
    <row r="12" spans="2:15" x14ac:dyDescent="0.25">
      <c r="B12" s="151" t="s">
        <v>39</v>
      </c>
      <c r="C12" s="162">
        <v>20115.830000000002</v>
      </c>
      <c r="D12" s="137">
        <v>17442</v>
      </c>
      <c r="E12" s="137">
        <v>2300</v>
      </c>
      <c r="F12" s="137"/>
      <c r="G12" s="137"/>
      <c r="H12" s="137"/>
      <c r="I12" s="136">
        <v>5740</v>
      </c>
      <c r="J12" s="137">
        <v>764095</v>
      </c>
      <c r="K12" s="138"/>
      <c r="L12" s="138"/>
      <c r="M12" s="143">
        <v>5000</v>
      </c>
      <c r="N12" s="146">
        <f t="shared" si="0"/>
        <v>814692.83</v>
      </c>
      <c r="O12" s="146">
        <v>814692.83</v>
      </c>
    </row>
    <row r="13" spans="2:15" x14ac:dyDescent="0.25">
      <c r="B13" s="151" t="s">
        <v>40</v>
      </c>
      <c r="C13" s="162">
        <v>20115.830000000002</v>
      </c>
      <c r="D13" s="137">
        <v>17442</v>
      </c>
      <c r="E13" s="137"/>
      <c r="F13" s="137"/>
      <c r="G13" s="137"/>
      <c r="H13" s="137"/>
      <c r="I13" s="136">
        <v>5740</v>
      </c>
      <c r="J13" s="137"/>
      <c r="K13" s="138"/>
      <c r="L13" s="138"/>
      <c r="M13" s="143">
        <v>15000</v>
      </c>
      <c r="N13" s="146">
        <f t="shared" si="0"/>
        <v>58297.83</v>
      </c>
      <c r="O13" s="146">
        <v>58297.83</v>
      </c>
    </row>
    <row r="14" spans="2:15" x14ac:dyDescent="0.25">
      <c r="B14" s="151" t="s">
        <v>41</v>
      </c>
      <c r="C14" s="162">
        <v>20115.830000000002</v>
      </c>
      <c r="D14" s="137">
        <v>17442</v>
      </c>
      <c r="E14" s="137"/>
      <c r="F14" s="137"/>
      <c r="G14" s="137"/>
      <c r="H14" s="137"/>
      <c r="I14" s="136">
        <v>5740</v>
      </c>
      <c r="J14" s="137"/>
      <c r="K14" s="138"/>
      <c r="L14" s="138"/>
      <c r="M14" s="143">
        <v>10000</v>
      </c>
      <c r="N14" s="146">
        <f t="shared" si="0"/>
        <v>53297.83</v>
      </c>
      <c r="O14" s="146">
        <v>53297.83</v>
      </c>
    </row>
    <row r="15" spans="2:15" x14ac:dyDescent="0.25">
      <c r="B15" s="151" t="s">
        <v>42</v>
      </c>
      <c r="C15" s="162">
        <v>20115.830000000002</v>
      </c>
      <c r="D15" s="137">
        <v>17442</v>
      </c>
      <c r="E15" s="137"/>
      <c r="F15" s="137"/>
      <c r="G15" s="137"/>
      <c r="H15" s="137"/>
      <c r="I15" s="136">
        <v>5740</v>
      </c>
      <c r="J15" s="137"/>
      <c r="K15" s="138"/>
      <c r="L15" s="138"/>
      <c r="M15" s="143"/>
      <c r="N15" s="146">
        <f t="shared" si="0"/>
        <v>43297.83</v>
      </c>
      <c r="O15" s="146">
        <v>43297.83</v>
      </c>
    </row>
    <row r="16" spans="2:15" x14ac:dyDescent="0.25">
      <c r="B16" s="165" t="s">
        <v>43</v>
      </c>
      <c r="C16" s="162">
        <v>20115.87</v>
      </c>
      <c r="D16" s="137">
        <v>17440</v>
      </c>
      <c r="E16" s="137"/>
      <c r="F16" s="137"/>
      <c r="G16" s="137"/>
      <c r="H16" s="137"/>
      <c r="I16" s="136">
        <v>5742.5</v>
      </c>
      <c r="J16" s="137"/>
      <c r="K16" s="138"/>
      <c r="L16" s="138"/>
      <c r="M16" s="143">
        <v>5000</v>
      </c>
      <c r="N16" s="146">
        <f t="shared" si="0"/>
        <v>48298.369999999995</v>
      </c>
      <c r="O16" s="146">
        <v>48298.369999999995</v>
      </c>
    </row>
    <row r="17" spans="2:15" x14ac:dyDescent="0.25">
      <c r="B17" s="163" t="s">
        <v>152</v>
      </c>
      <c r="C17" s="148">
        <f t="shared" ref="C17:K17" si="1">SUM(C5:C16)</f>
        <v>241390.00000000006</v>
      </c>
      <c r="D17" s="148">
        <f t="shared" si="1"/>
        <v>134320</v>
      </c>
      <c r="E17" s="148">
        <f t="shared" si="1"/>
        <v>9200</v>
      </c>
      <c r="F17" s="148">
        <f t="shared" si="1"/>
        <v>11500</v>
      </c>
      <c r="G17" s="148">
        <f t="shared" si="1"/>
        <v>8280</v>
      </c>
      <c r="H17" s="148">
        <f t="shared" si="1"/>
        <v>4830</v>
      </c>
      <c r="I17" s="148">
        <f t="shared" si="1"/>
        <v>57385</v>
      </c>
      <c r="J17" s="148">
        <f t="shared" si="1"/>
        <v>1230095</v>
      </c>
      <c r="K17" s="148">
        <f t="shared" si="1"/>
        <v>378000</v>
      </c>
      <c r="L17" s="204">
        <f>SUM(C17:K17)</f>
        <v>2075000</v>
      </c>
      <c r="M17" s="148">
        <f>SUM(M5:M16)</f>
        <v>50000</v>
      </c>
      <c r="N17" s="178">
        <f>SUM(N5:N16)</f>
        <v>2125000.0000000005</v>
      </c>
      <c r="O17" s="178">
        <v>2125000.0000000005</v>
      </c>
    </row>
    <row r="21" spans="2:15" ht="23.25" x14ac:dyDescent="0.35">
      <c r="B21" s="203" t="s">
        <v>201</v>
      </c>
      <c r="C21" s="203"/>
      <c r="D21" s="203"/>
      <c r="E21" s="203"/>
      <c r="F21" s="203"/>
      <c r="G21" s="66"/>
      <c r="H21" s="66"/>
      <c r="I21" s="66"/>
      <c r="J21" s="66"/>
      <c r="K21" s="66"/>
      <c r="L21" s="66"/>
      <c r="M21" s="66"/>
    </row>
    <row r="22" spans="2:15" x14ac:dyDescent="0.25"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</row>
    <row r="23" spans="2:15" x14ac:dyDescent="0.25">
      <c r="B23" s="133" t="s">
        <v>193</v>
      </c>
      <c r="C23" s="133" t="s">
        <v>194</v>
      </c>
      <c r="D23" s="133">
        <v>116745</v>
      </c>
      <c r="E23" s="133">
        <v>116746</v>
      </c>
      <c r="F23" s="133">
        <v>116747</v>
      </c>
      <c r="G23" s="133">
        <v>116856</v>
      </c>
      <c r="H23" s="133">
        <v>116748</v>
      </c>
      <c r="I23" s="133">
        <v>116749</v>
      </c>
      <c r="J23" s="133">
        <v>116749</v>
      </c>
      <c r="K23" s="133" t="s">
        <v>195</v>
      </c>
      <c r="L23" s="140"/>
      <c r="M23" s="140"/>
    </row>
    <row r="24" spans="2:15" ht="39" x14ac:dyDescent="0.25">
      <c r="B24" s="132"/>
      <c r="C24" s="133" t="s">
        <v>135</v>
      </c>
      <c r="D24" s="133" t="s">
        <v>142</v>
      </c>
      <c r="E24" s="133" t="s">
        <v>196</v>
      </c>
      <c r="F24" s="133" t="s">
        <v>144</v>
      </c>
      <c r="G24" s="133" t="s">
        <v>197</v>
      </c>
      <c r="H24" s="133" t="s">
        <v>198</v>
      </c>
      <c r="I24" s="133" t="s">
        <v>145</v>
      </c>
      <c r="J24" s="133" t="s">
        <v>160</v>
      </c>
      <c r="K24" s="133" t="s">
        <v>161</v>
      </c>
      <c r="L24" s="134" t="s">
        <v>147</v>
      </c>
      <c r="M24" s="133" t="s">
        <v>162</v>
      </c>
    </row>
    <row r="25" spans="2:15" x14ac:dyDescent="0.25">
      <c r="B25" s="135" t="s">
        <v>31</v>
      </c>
      <c r="C25" s="201">
        <v>20115.849999999999</v>
      </c>
      <c r="D25" s="202">
        <v>4945</v>
      </c>
      <c r="E25" s="137"/>
      <c r="F25" s="137"/>
      <c r="G25" s="202">
        <v>8280</v>
      </c>
      <c r="H25" s="137"/>
      <c r="I25" s="201">
        <v>3823.75</v>
      </c>
      <c r="J25" s="202">
        <v>466000</v>
      </c>
      <c r="K25" s="143">
        <v>3000</v>
      </c>
      <c r="L25" s="130">
        <f t="shared" ref="L25:L29" si="2">SUM(C25:K25)</f>
        <v>506164.6</v>
      </c>
      <c r="M25" s="138" t="s">
        <v>199</v>
      </c>
    </row>
    <row r="26" spans="2:15" x14ac:dyDescent="0.25">
      <c r="B26" s="135" t="s">
        <v>33</v>
      </c>
      <c r="C26" s="201">
        <v>20115.849999999999</v>
      </c>
      <c r="D26" s="202">
        <v>4945</v>
      </c>
      <c r="E26" s="137"/>
      <c r="F26" s="137"/>
      <c r="G26" s="137"/>
      <c r="H26" s="137"/>
      <c r="I26" s="201">
        <v>3823.75</v>
      </c>
      <c r="J26" s="137"/>
      <c r="K26" s="138"/>
      <c r="L26" s="130">
        <f t="shared" si="2"/>
        <v>28884.6</v>
      </c>
      <c r="M26" s="138"/>
    </row>
    <row r="27" spans="2:15" x14ac:dyDescent="0.25">
      <c r="B27" s="135" t="s">
        <v>34</v>
      </c>
      <c r="C27" s="201">
        <v>20115.849999999999</v>
      </c>
      <c r="D27" s="202">
        <v>4945</v>
      </c>
      <c r="E27" s="137"/>
      <c r="F27" s="137"/>
      <c r="G27" s="137"/>
      <c r="H27" s="137"/>
      <c r="I27" s="201">
        <v>3823.75</v>
      </c>
      <c r="J27" s="137"/>
      <c r="K27" s="138"/>
      <c r="L27" s="130">
        <f t="shared" si="2"/>
        <v>28884.6</v>
      </c>
      <c r="M27" s="138"/>
    </row>
    <row r="28" spans="2:15" x14ac:dyDescent="0.25">
      <c r="B28" s="135" t="s">
        <v>35</v>
      </c>
      <c r="C28" s="201">
        <v>20115.849999999999</v>
      </c>
      <c r="D28" s="202">
        <v>4945</v>
      </c>
      <c r="E28" s="137">
        <v>2300</v>
      </c>
      <c r="F28" s="137"/>
      <c r="G28" s="137"/>
      <c r="I28" s="201">
        <v>3823.75</v>
      </c>
      <c r="J28" s="137"/>
      <c r="L28" s="130">
        <f t="shared" si="2"/>
        <v>31184.6</v>
      </c>
      <c r="M28" s="138"/>
    </row>
    <row r="29" spans="2:15" x14ac:dyDescent="0.25">
      <c r="B29" s="135" t="s">
        <v>36</v>
      </c>
      <c r="C29" s="201">
        <v>20115.849999999999</v>
      </c>
      <c r="D29" s="202">
        <v>4945</v>
      </c>
      <c r="E29" s="202">
        <v>2300</v>
      </c>
      <c r="G29" s="137"/>
      <c r="H29" s="137"/>
      <c r="I29" s="201">
        <v>3823.75</v>
      </c>
      <c r="J29" s="137"/>
      <c r="K29" s="202">
        <v>100000</v>
      </c>
      <c r="L29" s="130">
        <f t="shared" si="2"/>
        <v>131184.6</v>
      </c>
      <c r="M29" s="138" t="s">
        <v>167</v>
      </c>
    </row>
    <row r="30" spans="2:15" x14ac:dyDescent="0.25">
      <c r="B30" s="135" t="s">
        <v>37</v>
      </c>
      <c r="C30" s="201">
        <v>20115.849999999999</v>
      </c>
      <c r="D30" s="202">
        <v>4945</v>
      </c>
      <c r="E30" s="202">
        <v>2300</v>
      </c>
      <c r="F30" s="202">
        <v>5750</v>
      </c>
      <c r="G30" s="137"/>
      <c r="H30" s="202">
        <v>4830</v>
      </c>
      <c r="I30" s="201">
        <v>3823.75</v>
      </c>
      <c r="J30" s="137"/>
      <c r="K30" s="202">
        <v>150000</v>
      </c>
      <c r="L30" s="130">
        <f>SUM(C30:K30)</f>
        <v>191764.6</v>
      </c>
      <c r="M30" s="138" t="s">
        <v>167</v>
      </c>
    </row>
    <row r="31" spans="2:15" x14ac:dyDescent="0.25">
      <c r="B31" s="135" t="s">
        <v>38</v>
      </c>
      <c r="C31" s="201">
        <v>20115.849999999999</v>
      </c>
      <c r="D31" s="202">
        <v>17442</v>
      </c>
      <c r="E31" s="202">
        <v>2300</v>
      </c>
      <c r="F31" s="202">
        <v>5750</v>
      </c>
      <c r="G31" s="137"/>
      <c r="H31" s="137"/>
      <c r="I31" s="201">
        <v>5740</v>
      </c>
      <c r="J31" s="137"/>
      <c r="K31" s="138"/>
      <c r="L31" s="130">
        <f>SUM(C31:K31)</f>
        <v>51347.85</v>
      </c>
      <c r="M31" s="138"/>
    </row>
    <row r="32" spans="2:15" x14ac:dyDescent="0.25">
      <c r="B32" s="135" t="s">
        <v>39</v>
      </c>
      <c r="C32" s="201">
        <v>20115.849999999999</v>
      </c>
      <c r="D32" s="202">
        <v>17442</v>
      </c>
      <c r="F32" s="137"/>
      <c r="G32" s="137"/>
      <c r="H32" s="137"/>
      <c r="I32" s="201">
        <v>5740</v>
      </c>
      <c r="J32" s="202">
        <v>764095</v>
      </c>
      <c r="K32" s="202">
        <v>125000</v>
      </c>
      <c r="L32" s="130">
        <f t="shared" ref="L32:L36" si="3">SUM(C32:K32)</f>
        <v>932392.85</v>
      </c>
      <c r="M32" s="138" t="s">
        <v>202</v>
      </c>
    </row>
    <row r="33" spans="2:13" x14ac:dyDescent="0.25">
      <c r="B33" s="135" t="s">
        <v>40</v>
      </c>
      <c r="C33" s="136">
        <v>20115.849999999999</v>
      </c>
      <c r="D33" s="137">
        <v>17442</v>
      </c>
      <c r="E33" s="137"/>
      <c r="F33" s="137"/>
      <c r="G33" s="137"/>
      <c r="H33" s="137"/>
      <c r="I33" s="136">
        <v>5740</v>
      </c>
      <c r="J33" s="137"/>
      <c r="K33" s="138"/>
      <c r="L33" s="130">
        <f t="shared" si="3"/>
        <v>43297.85</v>
      </c>
      <c r="M33" s="138"/>
    </row>
    <row r="34" spans="2:13" x14ac:dyDescent="0.25">
      <c r="B34" s="135" t="s">
        <v>41</v>
      </c>
      <c r="C34" s="136">
        <v>20115.849999999999</v>
      </c>
      <c r="D34" s="137">
        <v>17442</v>
      </c>
      <c r="E34" s="137"/>
      <c r="F34" s="137"/>
      <c r="G34" s="137"/>
      <c r="H34" s="137"/>
      <c r="I34" s="136">
        <v>5740</v>
      </c>
      <c r="J34" s="137"/>
      <c r="K34" s="138"/>
      <c r="L34" s="130">
        <f t="shared" si="3"/>
        <v>43297.85</v>
      </c>
      <c r="M34" s="138"/>
    </row>
    <row r="35" spans="2:13" x14ac:dyDescent="0.25">
      <c r="B35" s="135" t="s">
        <v>42</v>
      </c>
      <c r="C35" s="136">
        <v>20115.849999999999</v>
      </c>
      <c r="D35" s="137">
        <v>17442</v>
      </c>
      <c r="E35" s="137"/>
      <c r="F35" s="137"/>
      <c r="G35" s="137"/>
      <c r="H35" s="137"/>
      <c r="I35" s="136">
        <v>5740</v>
      </c>
      <c r="J35" s="137"/>
      <c r="K35" s="138"/>
      <c r="L35" s="130">
        <f t="shared" si="3"/>
        <v>43297.85</v>
      </c>
      <c r="M35" s="138"/>
    </row>
    <row r="36" spans="2:13" x14ac:dyDescent="0.25">
      <c r="B36" s="135" t="s">
        <v>43</v>
      </c>
      <c r="C36" s="136">
        <v>20115.650000000001</v>
      </c>
      <c r="D36" s="137">
        <v>17440</v>
      </c>
      <c r="E36" s="137"/>
      <c r="F36" s="137"/>
      <c r="G36" s="137"/>
      <c r="H36" s="137"/>
      <c r="I36" s="136">
        <v>5742.5</v>
      </c>
      <c r="J36" s="137"/>
      <c r="K36" s="138"/>
      <c r="L36" s="130">
        <f t="shared" si="3"/>
        <v>43298.15</v>
      </c>
      <c r="M36" s="138"/>
    </row>
    <row r="37" spans="2:13" ht="15.75" thickBot="1" x14ac:dyDescent="0.3">
      <c r="B37" s="139" t="s">
        <v>152</v>
      </c>
      <c r="C37" s="139">
        <f>SUM(C25:C36)</f>
        <v>241390.00000000003</v>
      </c>
      <c r="D37" s="139">
        <f t="shared" ref="D37:J37" si="4">SUM(D25:D36)</f>
        <v>134320</v>
      </c>
      <c r="E37" s="139">
        <f t="shared" si="4"/>
        <v>9200</v>
      </c>
      <c r="F37" s="139">
        <f t="shared" si="4"/>
        <v>11500</v>
      </c>
      <c r="G37" s="139">
        <f t="shared" si="4"/>
        <v>8280</v>
      </c>
      <c r="H37" s="139">
        <f t="shared" si="4"/>
        <v>4830</v>
      </c>
      <c r="I37" s="139">
        <f t="shared" si="4"/>
        <v>57385</v>
      </c>
      <c r="J37" s="139">
        <f t="shared" si="4"/>
        <v>1230095</v>
      </c>
      <c r="K37" s="139">
        <f>SUM(K25:K36)</f>
        <v>378000</v>
      </c>
      <c r="L37" s="139">
        <f>SUM(L25:L36)</f>
        <v>2075000</v>
      </c>
      <c r="M37" s="140"/>
    </row>
    <row r="38" spans="2:13" ht="15.75" thickTop="1" x14ac:dyDescent="0.25"/>
    <row r="40" spans="2:13" ht="23.25" x14ac:dyDescent="0.35">
      <c r="B40" s="131" t="s">
        <v>192</v>
      </c>
      <c r="C40" s="131"/>
      <c r="D40" s="131"/>
      <c r="E40" s="131"/>
      <c r="F40" s="131"/>
    </row>
    <row r="41" spans="2:13" x14ac:dyDescent="0.25"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</row>
    <row r="42" spans="2:13" x14ac:dyDescent="0.25">
      <c r="B42" s="133" t="s">
        <v>193</v>
      </c>
      <c r="C42" s="133" t="s">
        <v>194</v>
      </c>
      <c r="D42" s="133">
        <v>116745</v>
      </c>
      <c r="E42" s="133">
        <v>116746</v>
      </c>
      <c r="F42" s="133">
        <v>116747</v>
      </c>
      <c r="G42" s="133">
        <v>116856</v>
      </c>
      <c r="H42" s="133">
        <v>116748</v>
      </c>
      <c r="I42" s="133">
        <v>116749</v>
      </c>
      <c r="J42" s="133">
        <v>116749</v>
      </c>
      <c r="K42" s="133" t="s">
        <v>195</v>
      </c>
      <c r="L42" s="140"/>
      <c r="M42" s="140"/>
    </row>
    <row r="43" spans="2:13" ht="39" x14ac:dyDescent="0.25">
      <c r="B43" s="132"/>
      <c r="C43" s="133" t="s">
        <v>135</v>
      </c>
      <c r="D43" s="133" t="s">
        <v>142</v>
      </c>
      <c r="E43" s="133" t="s">
        <v>196</v>
      </c>
      <c r="F43" s="133" t="s">
        <v>144</v>
      </c>
      <c r="G43" s="133" t="s">
        <v>197</v>
      </c>
      <c r="H43" s="133" t="s">
        <v>198</v>
      </c>
      <c r="I43" s="133" t="s">
        <v>145</v>
      </c>
      <c r="J43" s="133" t="s">
        <v>160</v>
      </c>
      <c r="K43" s="133" t="s">
        <v>161</v>
      </c>
      <c r="L43" s="134" t="s">
        <v>147</v>
      </c>
      <c r="M43" s="133" t="s">
        <v>162</v>
      </c>
    </row>
    <row r="44" spans="2:13" x14ac:dyDescent="0.25">
      <c r="B44" s="135" t="s">
        <v>31</v>
      </c>
      <c r="C44" s="201">
        <v>20115.849999999999</v>
      </c>
      <c r="D44" s="202">
        <v>4945</v>
      </c>
      <c r="E44" s="137"/>
      <c r="F44" s="137"/>
      <c r="G44" s="202">
        <v>8280</v>
      </c>
      <c r="H44" s="137"/>
      <c r="I44" s="201">
        <v>3823.75</v>
      </c>
      <c r="J44" s="202">
        <v>466000</v>
      </c>
      <c r="K44" s="143">
        <v>3000</v>
      </c>
      <c r="L44" s="130">
        <f t="shared" ref="L44:L55" si="5">SUM(C44:K44)</f>
        <v>506164.6</v>
      </c>
      <c r="M44" s="138" t="s">
        <v>199</v>
      </c>
    </row>
    <row r="45" spans="2:13" x14ac:dyDescent="0.25">
      <c r="B45" s="135" t="s">
        <v>33</v>
      </c>
      <c r="C45" s="201">
        <v>20115.849999999999</v>
      </c>
      <c r="D45" s="202">
        <v>4945</v>
      </c>
      <c r="E45" s="137"/>
      <c r="F45" s="137"/>
      <c r="G45" s="137"/>
      <c r="H45" s="137"/>
      <c r="I45" s="201">
        <v>3823.75</v>
      </c>
      <c r="J45" s="137"/>
      <c r="K45" s="138"/>
      <c r="L45" s="130">
        <f t="shared" si="5"/>
        <v>28884.6</v>
      </c>
      <c r="M45" s="138"/>
    </row>
    <row r="46" spans="2:13" x14ac:dyDescent="0.25">
      <c r="B46" s="135" t="s">
        <v>34</v>
      </c>
      <c r="C46" s="201">
        <v>20115.849999999999</v>
      </c>
      <c r="D46" s="202">
        <v>4945</v>
      </c>
      <c r="E46" s="137"/>
      <c r="F46" s="137"/>
      <c r="G46" s="137"/>
      <c r="H46" s="137"/>
      <c r="I46" s="201">
        <v>3823.75</v>
      </c>
      <c r="J46" s="137"/>
      <c r="K46" s="138"/>
      <c r="L46" s="130">
        <f t="shared" si="5"/>
        <v>28884.6</v>
      </c>
      <c r="M46" s="138"/>
    </row>
    <row r="47" spans="2:13" x14ac:dyDescent="0.25">
      <c r="B47" s="135" t="s">
        <v>35</v>
      </c>
      <c r="C47" s="201">
        <v>20115.849999999999</v>
      </c>
      <c r="D47" s="202">
        <v>4945</v>
      </c>
      <c r="E47" s="137">
        <v>2300</v>
      </c>
      <c r="F47" s="137"/>
      <c r="G47" s="137"/>
      <c r="I47" s="201">
        <v>3823.75</v>
      </c>
      <c r="J47" s="137"/>
      <c r="L47" s="130">
        <f t="shared" si="5"/>
        <v>31184.6</v>
      </c>
      <c r="M47" s="138"/>
    </row>
    <row r="48" spans="2:13" x14ac:dyDescent="0.25">
      <c r="B48" s="135" t="s">
        <v>36</v>
      </c>
      <c r="C48" s="201">
        <v>20115.849999999999</v>
      </c>
      <c r="D48" s="202">
        <v>4945</v>
      </c>
      <c r="E48" s="202">
        <v>2300</v>
      </c>
      <c r="G48" s="137"/>
      <c r="H48" s="137"/>
      <c r="I48" s="201">
        <v>3823.75</v>
      </c>
      <c r="J48" s="137"/>
      <c r="K48" s="202">
        <v>100000</v>
      </c>
      <c r="L48" s="130">
        <f t="shared" si="5"/>
        <v>131184.6</v>
      </c>
      <c r="M48" s="138" t="s">
        <v>167</v>
      </c>
    </row>
    <row r="49" spans="2:13" x14ac:dyDescent="0.25">
      <c r="B49" s="135" t="s">
        <v>37</v>
      </c>
      <c r="C49" s="201">
        <v>20115.849999999999</v>
      </c>
      <c r="D49" s="202">
        <v>4945</v>
      </c>
      <c r="E49" s="202">
        <v>2300</v>
      </c>
      <c r="F49" s="202">
        <v>5750</v>
      </c>
      <c r="G49" s="137"/>
      <c r="H49" s="202">
        <v>4830</v>
      </c>
      <c r="I49" s="201">
        <v>3823.75</v>
      </c>
      <c r="J49" s="137"/>
      <c r="K49" s="202">
        <v>100000</v>
      </c>
      <c r="L49" s="130">
        <f>SUM(C49:K49)</f>
        <v>141764.6</v>
      </c>
      <c r="M49" s="138" t="s">
        <v>167</v>
      </c>
    </row>
    <row r="50" spans="2:13" x14ac:dyDescent="0.25">
      <c r="B50" s="135" t="s">
        <v>38</v>
      </c>
      <c r="C50" s="136">
        <v>20115.849999999999</v>
      </c>
      <c r="D50" s="137">
        <v>4945</v>
      </c>
      <c r="E50" s="137">
        <v>2300</v>
      </c>
      <c r="F50" s="137">
        <v>5750</v>
      </c>
      <c r="G50" s="137"/>
      <c r="H50" s="137"/>
      <c r="I50" s="136">
        <v>3823.75</v>
      </c>
      <c r="J50" s="137"/>
      <c r="K50" s="138">
        <v>15000</v>
      </c>
      <c r="L50" s="130">
        <f>SUM(C50:K50)</f>
        <v>51934.6</v>
      </c>
      <c r="M50" s="138" t="s">
        <v>200</v>
      </c>
    </row>
    <row r="51" spans="2:13" x14ac:dyDescent="0.25">
      <c r="B51" s="135" t="s">
        <v>39</v>
      </c>
      <c r="C51" s="136">
        <v>20115.849999999999</v>
      </c>
      <c r="D51" s="137">
        <v>4945</v>
      </c>
      <c r="F51" s="137"/>
      <c r="G51" s="137"/>
      <c r="H51" s="137"/>
      <c r="I51" s="136">
        <v>3823.75</v>
      </c>
      <c r="J51" s="137">
        <v>685575</v>
      </c>
      <c r="K51" s="138"/>
      <c r="L51" s="130">
        <f t="shared" si="5"/>
        <v>714459.6</v>
      </c>
      <c r="M51" s="138"/>
    </row>
    <row r="52" spans="2:13" x14ac:dyDescent="0.25">
      <c r="B52" s="135" t="s">
        <v>40</v>
      </c>
      <c r="C52" s="136">
        <v>20115.849999999999</v>
      </c>
      <c r="D52" s="137">
        <v>4945</v>
      </c>
      <c r="E52" s="137"/>
      <c r="F52" s="137"/>
      <c r="G52" s="137"/>
      <c r="H52" s="137"/>
      <c r="I52" s="136">
        <v>3823.75</v>
      </c>
      <c r="J52" s="137"/>
      <c r="K52" s="138"/>
      <c r="L52" s="130">
        <f t="shared" si="5"/>
        <v>28884.6</v>
      </c>
      <c r="M52" s="138"/>
    </row>
    <row r="53" spans="2:13" x14ac:dyDescent="0.25">
      <c r="B53" s="135" t="s">
        <v>41</v>
      </c>
      <c r="C53" s="136">
        <v>20115.849999999999</v>
      </c>
      <c r="D53" s="137">
        <v>4945</v>
      </c>
      <c r="E53" s="137"/>
      <c r="F53" s="137"/>
      <c r="G53" s="137"/>
      <c r="H53" s="137"/>
      <c r="I53" s="136">
        <v>3823.75</v>
      </c>
      <c r="J53" s="137"/>
      <c r="K53" s="138"/>
      <c r="L53" s="130">
        <f t="shared" si="5"/>
        <v>28884.6</v>
      </c>
      <c r="M53" s="138"/>
    </row>
    <row r="54" spans="2:13" x14ac:dyDescent="0.25">
      <c r="B54" s="135" t="s">
        <v>42</v>
      </c>
      <c r="C54" s="136">
        <v>20115.849999999999</v>
      </c>
      <c r="D54" s="137">
        <v>4945</v>
      </c>
      <c r="E54" s="137"/>
      <c r="F54" s="137"/>
      <c r="G54" s="137"/>
      <c r="H54" s="137"/>
      <c r="I54" s="136">
        <v>3823.75</v>
      </c>
      <c r="J54" s="137"/>
      <c r="K54" s="138"/>
      <c r="L54" s="130">
        <f t="shared" si="5"/>
        <v>28884.6</v>
      </c>
      <c r="M54" s="138"/>
    </row>
    <row r="55" spans="2:13" x14ac:dyDescent="0.25">
      <c r="B55" s="135" t="s">
        <v>43</v>
      </c>
      <c r="C55" s="136">
        <v>20115.650000000001</v>
      </c>
      <c r="D55" s="137">
        <v>4945</v>
      </c>
      <c r="E55" s="137"/>
      <c r="F55" s="137"/>
      <c r="G55" s="137"/>
      <c r="H55" s="137"/>
      <c r="I55" s="136">
        <v>3823.75</v>
      </c>
      <c r="J55" s="137"/>
      <c r="K55" s="138"/>
      <c r="L55" s="130">
        <f t="shared" si="5"/>
        <v>28884.400000000001</v>
      </c>
      <c r="M55" s="138"/>
    </row>
    <row r="56" spans="2:13" ht="15.75" thickBot="1" x14ac:dyDescent="0.3">
      <c r="B56" s="139" t="s">
        <v>152</v>
      </c>
      <c r="C56" s="139">
        <f>SUM(C44:C55)</f>
        <v>241390.00000000003</v>
      </c>
      <c r="D56" s="139">
        <f t="shared" ref="D56:J56" si="6">SUM(D44:D55)</f>
        <v>59340</v>
      </c>
      <c r="E56" s="139">
        <f t="shared" si="6"/>
        <v>9200</v>
      </c>
      <c r="F56" s="139">
        <f t="shared" si="6"/>
        <v>11500</v>
      </c>
      <c r="G56" s="139">
        <f t="shared" si="6"/>
        <v>8280</v>
      </c>
      <c r="H56" s="139">
        <f t="shared" si="6"/>
        <v>4830</v>
      </c>
      <c r="I56" s="139">
        <f t="shared" si="6"/>
        <v>45885</v>
      </c>
      <c r="J56" s="139">
        <f t="shared" si="6"/>
        <v>1151575</v>
      </c>
      <c r="K56" s="139">
        <f>SUM(K44:K55)</f>
        <v>218000</v>
      </c>
      <c r="L56" s="139">
        <f>SUM(L44:L55)</f>
        <v>1750000</v>
      </c>
      <c r="M56" s="140"/>
    </row>
    <row r="57" spans="2:13" ht="15.75" thickTop="1" x14ac:dyDescent="0.25"/>
  </sheetData>
  <mergeCells count="1">
    <mergeCell ref="C3:L3"/>
  </mergeCells>
  <conditionalFormatting sqref="L4:N17 O4:O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{8E1F91E5-4DBA-4FE9-9115-703E5B90C611}</x14:id>
        </ext>
      </extLst>
    </cfRule>
  </conditionalFormatting>
  <conditionalFormatting sqref="O7:O1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{CBB21AA1-CFD6-4269-8D58-F1F7A8E16447}</x14:id>
        </ext>
      </extLst>
    </cfRule>
  </conditionalFormatting>
  <pageMargins left="0.25" right="0.25" top="0.75" bottom="0.75" header="0.3" footer="0.3"/>
  <pageSetup scale="74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E1F91E5-4DBA-4FE9-9115-703E5B90C61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L4:N17 O4:O6</xm:sqref>
        </x14:conditionalFormatting>
        <x14:conditionalFormatting xmlns:xm="http://schemas.microsoft.com/office/excel/2006/main">
          <x14:cfRule type="dataBar" id="{CBB21AA1-CFD6-4269-8D58-F1F7A8E1644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O7:O17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opLeftCell="A26" workbookViewId="0">
      <selection activeCell="C59" sqref="C59"/>
    </sheetView>
  </sheetViews>
  <sheetFormatPr defaultRowHeight="15" x14ac:dyDescent="0.25"/>
  <cols>
    <col min="2" max="2" width="9.28515625" customWidth="1"/>
    <col min="3" max="3" width="12.85546875" customWidth="1"/>
    <col min="4" max="4" width="14" customWidth="1"/>
    <col min="5" max="5" width="16.42578125" customWidth="1"/>
    <col min="6" max="6" width="11" customWidth="1"/>
    <col min="7" max="7" width="10.85546875" customWidth="1"/>
    <col min="8" max="8" width="11.85546875" customWidth="1"/>
    <col min="9" max="9" width="11.42578125" customWidth="1"/>
    <col min="10" max="10" width="15.42578125" customWidth="1"/>
    <col min="11" max="11" width="14" customWidth="1"/>
    <col min="12" max="12" width="14.5703125" customWidth="1"/>
    <col min="13" max="13" width="19.140625" customWidth="1"/>
    <col min="14" max="14" width="14.28515625" customWidth="1"/>
    <col min="15" max="15" width="17.140625" customWidth="1"/>
  </cols>
  <sheetData>
    <row r="1" spans="2:15" ht="23.25" x14ac:dyDescent="0.35">
      <c r="B1" s="131" t="s">
        <v>216</v>
      </c>
      <c r="C1" s="131"/>
      <c r="D1" s="131"/>
    </row>
    <row r="2" spans="2:15" x14ac:dyDescent="0.25">
      <c r="B2" s="174"/>
      <c r="C2" s="318" t="s">
        <v>170</v>
      </c>
      <c r="D2" s="319"/>
      <c r="E2" s="319"/>
      <c r="F2" s="319"/>
      <c r="G2" s="319"/>
      <c r="H2" s="319"/>
      <c r="I2" s="319"/>
      <c r="J2" s="319"/>
      <c r="K2" s="319"/>
      <c r="L2" s="319"/>
      <c r="M2" s="320"/>
      <c r="N2" s="175"/>
      <c r="O2" s="179"/>
    </row>
    <row r="3" spans="2:15" ht="64.5" x14ac:dyDescent="0.25">
      <c r="B3" s="151"/>
      <c r="C3" s="176" t="s">
        <v>135</v>
      </c>
      <c r="D3" s="173" t="s">
        <v>227</v>
      </c>
      <c r="E3" s="173" t="s">
        <v>226</v>
      </c>
      <c r="F3" s="173" t="s">
        <v>144</v>
      </c>
      <c r="G3" s="173" t="s">
        <v>225</v>
      </c>
      <c r="H3" s="173" t="s">
        <v>177</v>
      </c>
      <c r="I3" s="173" t="s">
        <v>145</v>
      </c>
      <c r="J3" s="173" t="s">
        <v>160</v>
      </c>
      <c r="K3" s="177" t="s">
        <v>212</v>
      </c>
      <c r="L3" s="177" t="s">
        <v>213</v>
      </c>
      <c r="M3" s="173" t="s">
        <v>162</v>
      </c>
      <c r="N3" s="154" t="s">
        <v>218</v>
      </c>
      <c r="O3" s="180" t="s">
        <v>147</v>
      </c>
    </row>
    <row r="4" spans="2:15" x14ac:dyDescent="0.25">
      <c r="B4" s="151" t="s">
        <v>31</v>
      </c>
      <c r="C4" s="136">
        <v>23202.080000000002</v>
      </c>
      <c r="D4" s="136">
        <v>9679.16</v>
      </c>
      <c r="E4" s="137">
        <v>19320</v>
      </c>
      <c r="F4" s="137"/>
      <c r="G4" s="137">
        <v>8050</v>
      </c>
      <c r="H4" s="137"/>
      <c r="I4" s="136">
        <v>5836.25</v>
      </c>
      <c r="J4" s="137">
        <v>400000</v>
      </c>
      <c r="K4" s="137">
        <v>2500</v>
      </c>
      <c r="L4" s="137">
        <v>50000</v>
      </c>
      <c r="M4" s="138" t="s">
        <v>214</v>
      </c>
      <c r="N4" s="143">
        <v>10417</v>
      </c>
      <c r="O4" s="156">
        <f t="shared" ref="O4:O15" si="0">SUM(C4:N4)</f>
        <v>529004.49</v>
      </c>
    </row>
    <row r="5" spans="2:15" x14ac:dyDescent="0.25">
      <c r="B5" s="151" t="s">
        <v>33</v>
      </c>
      <c r="C5" s="136">
        <v>23202.080000000002</v>
      </c>
      <c r="D5" s="136">
        <v>9679.16</v>
      </c>
      <c r="E5" s="137">
        <v>19320</v>
      </c>
      <c r="F5" s="137">
        <v>5750</v>
      </c>
      <c r="G5" s="137">
        <v>8050</v>
      </c>
      <c r="H5" s="137"/>
      <c r="I5" s="136">
        <v>5836.25</v>
      </c>
      <c r="J5" s="137"/>
      <c r="K5" s="137"/>
      <c r="L5" s="137">
        <v>2500</v>
      </c>
      <c r="M5" s="138" t="s">
        <v>215</v>
      </c>
      <c r="N5" s="143">
        <v>10417</v>
      </c>
      <c r="O5" s="146">
        <f t="shared" si="0"/>
        <v>84754.49</v>
      </c>
    </row>
    <row r="6" spans="2:15" x14ac:dyDescent="0.25">
      <c r="B6" s="151" t="s">
        <v>34</v>
      </c>
      <c r="C6" s="136">
        <v>23202.080000000002</v>
      </c>
      <c r="D6" s="136">
        <v>9679.16</v>
      </c>
      <c r="E6" s="137">
        <v>19320</v>
      </c>
      <c r="F6" s="137">
        <v>5750</v>
      </c>
      <c r="G6" s="137"/>
      <c r="H6" s="137"/>
      <c r="I6" s="136">
        <v>5836.25</v>
      </c>
      <c r="J6" s="137"/>
      <c r="K6" s="137"/>
      <c r="L6" s="137">
        <v>50000</v>
      </c>
      <c r="M6" s="138"/>
      <c r="N6" s="143">
        <v>10417</v>
      </c>
      <c r="O6" s="146">
        <f t="shared" si="0"/>
        <v>124204.49</v>
      </c>
    </row>
    <row r="7" spans="2:15" x14ac:dyDescent="0.25">
      <c r="B7" s="151" t="s">
        <v>35</v>
      </c>
      <c r="C7" s="136">
        <v>23202.080000000002</v>
      </c>
      <c r="D7" s="136">
        <v>9679.16</v>
      </c>
      <c r="E7" s="137"/>
      <c r="F7" s="137"/>
      <c r="G7" s="137"/>
      <c r="H7" s="137">
        <v>4830</v>
      </c>
      <c r="I7" s="136">
        <v>5836.25</v>
      </c>
      <c r="J7" s="137"/>
      <c r="K7" s="137"/>
      <c r="L7" s="137"/>
      <c r="M7" s="138"/>
      <c r="N7" s="143">
        <v>10417</v>
      </c>
      <c r="O7" s="146">
        <f t="shared" si="0"/>
        <v>53964.490000000005</v>
      </c>
    </row>
    <row r="8" spans="2:15" x14ac:dyDescent="0.25">
      <c r="B8" s="151" t="s">
        <v>36</v>
      </c>
      <c r="C8" s="136">
        <v>23202.080000000002</v>
      </c>
      <c r="D8" s="136">
        <v>9679.16</v>
      </c>
      <c r="E8" s="137"/>
      <c r="G8" s="137"/>
      <c r="H8" s="137"/>
      <c r="I8" s="136">
        <v>5836.25</v>
      </c>
      <c r="J8" s="137"/>
      <c r="K8" s="137"/>
      <c r="L8" s="137">
        <v>50000</v>
      </c>
      <c r="M8" s="138"/>
      <c r="N8" s="143">
        <v>10417</v>
      </c>
      <c r="O8" s="146">
        <f t="shared" si="0"/>
        <v>99134.49</v>
      </c>
    </row>
    <row r="9" spans="2:15" x14ac:dyDescent="0.25">
      <c r="B9" s="151" t="s">
        <v>37</v>
      </c>
      <c r="C9" s="136">
        <v>23202.080000000002</v>
      </c>
      <c r="D9" s="136">
        <v>9679.16</v>
      </c>
      <c r="E9" s="137"/>
      <c r="G9" s="137"/>
      <c r="I9" s="136">
        <v>5836.25</v>
      </c>
      <c r="J9" s="137">
        <v>800000</v>
      </c>
      <c r="K9" s="137">
        <v>15000</v>
      </c>
      <c r="L9" s="137"/>
      <c r="M9" s="138"/>
      <c r="N9" s="143">
        <v>10417</v>
      </c>
      <c r="O9" s="146">
        <f t="shared" si="0"/>
        <v>864134.49</v>
      </c>
    </row>
    <row r="10" spans="2:15" x14ac:dyDescent="0.25">
      <c r="B10" s="151" t="s">
        <v>38</v>
      </c>
      <c r="C10" s="136">
        <v>23202.080000000002</v>
      </c>
      <c r="D10" s="136">
        <v>9679.16</v>
      </c>
      <c r="E10" s="137"/>
      <c r="G10" s="137"/>
      <c r="H10" s="137"/>
      <c r="I10" s="136">
        <v>5836.25</v>
      </c>
      <c r="J10" s="137"/>
      <c r="L10" s="137">
        <v>50000</v>
      </c>
      <c r="M10" s="138"/>
      <c r="N10" s="143">
        <v>10417</v>
      </c>
      <c r="O10" s="146">
        <f t="shared" si="0"/>
        <v>99134.49</v>
      </c>
    </row>
    <row r="11" spans="2:15" x14ac:dyDescent="0.25">
      <c r="B11" s="151" t="s">
        <v>39</v>
      </c>
      <c r="C11" s="136">
        <v>23202.080000000002</v>
      </c>
      <c r="D11" s="136">
        <v>9679.16</v>
      </c>
      <c r="E11" s="217"/>
      <c r="F11" s="137"/>
      <c r="G11" s="137"/>
      <c r="H11" s="137"/>
      <c r="I11" s="136">
        <v>5836.25</v>
      </c>
      <c r="J11" s="137"/>
      <c r="K11" s="137"/>
      <c r="L11" s="137"/>
      <c r="M11" s="138"/>
      <c r="N11" s="143">
        <v>10417</v>
      </c>
      <c r="O11" s="146">
        <f t="shared" si="0"/>
        <v>49134.490000000005</v>
      </c>
    </row>
    <row r="12" spans="2:15" x14ac:dyDescent="0.25">
      <c r="B12" s="151" t="s">
        <v>40</v>
      </c>
      <c r="C12" s="136">
        <v>23202.080000000002</v>
      </c>
      <c r="D12" s="136">
        <v>9679.16</v>
      </c>
      <c r="E12" s="137"/>
      <c r="F12" s="137"/>
      <c r="G12" s="137"/>
      <c r="H12" s="137"/>
      <c r="I12" s="136">
        <v>5836.25</v>
      </c>
      <c r="J12" s="137"/>
      <c r="K12" s="137"/>
      <c r="L12" s="137">
        <v>50000</v>
      </c>
      <c r="M12" s="138"/>
      <c r="N12" s="143">
        <v>10416</v>
      </c>
      <c r="O12" s="146">
        <f t="shared" si="0"/>
        <v>99133.49</v>
      </c>
    </row>
    <row r="13" spans="2:15" x14ac:dyDescent="0.25">
      <c r="B13" s="151" t="s">
        <v>41</v>
      </c>
      <c r="C13" s="136">
        <v>23202.080000000002</v>
      </c>
      <c r="D13" s="136">
        <v>9679.16</v>
      </c>
      <c r="E13" s="137"/>
      <c r="F13" s="137"/>
      <c r="G13" s="137"/>
      <c r="H13" s="137"/>
      <c r="I13" s="136">
        <v>5836.25</v>
      </c>
      <c r="J13" s="137"/>
      <c r="K13" s="137"/>
      <c r="L13" s="137"/>
      <c r="M13" s="138"/>
      <c r="N13" s="143">
        <v>10416</v>
      </c>
      <c r="O13" s="146">
        <f t="shared" si="0"/>
        <v>49133.490000000005</v>
      </c>
    </row>
    <row r="14" spans="2:15" x14ac:dyDescent="0.25">
      <c r="B14" s="151" t="s">
        <v>42</v>
      </c>
      <c r="C14" s="136">
        <v>23202.080000000002</v>
      </c>
      <c r="D14" s="136">
        <v>9679.16</v>
      </c>
      <c r="E14" s="137"/>
      <c r="F14" s="137"/>
      <c r="G14" s="137"/>
      <c r="H14" s="137"/>
      <c r="I14" s="136">
        <v>5836.25</v>
      </c>
      <c r="J14" s="137"/>
      <c r="K14" s="137"/>
      <c r="L14" s="137">
        <v>50000</v>
      </c>
      <c r="M14" s="138"/>
      <c r="N14" s="143">
        <v>10416</v>
      </c>
      <c r="O14" s="146">
        <f t="shared" si="0"/>
        <v>99133.49</v>
      </c>
    </row>
    <row r="15" spans="2:15" x14ac:dyDescent="0.25">
      <c r="B15" s="165" t="s">
        <v>43</v>
      </c>
      <c r="C15" s="136">
        <v>23202.12</v>
      </c>
      <c r="D15" s="136">
        <v>9679.24</v>
      </c>
      <c r="E15" s="137"/>
      <c r="F15" s="137"/>
      <c r="G15" s="137"/>
      <c r="H15" s="137"/>
      <c r="I15" s="136">
        <v>5836.25</v>
      </c>
      <c r="J15" s="137"/>
      <c r="K15" s="137"/>
      <c r="L15" s="137"/>
      <c r="M15" s="138"/>
      <c r="N15" s="143">
        <v>10416</v>
      </c>
      <c r="O15" s="146">
        <f t="shared" si="0"/>
        <v>49133.61</v>
      </c>
    </row>
    <row r="16" spans="2:15" x14ac:dyDescent="0.25">
      <c r="B16" s="163" t="s">
        <v>152</v>
      </c>
      <c r="C16" s="148">
        <f t="shared" ref="C16:K16" si="1">SUM(C4:C15)</f>
        <v>278425.00000000006</v>
      </c>
      <c r="D16" s="148">
        <f t="shared" si="1"/>
        <v>116150.00000000003</v>
      </c>
      <c r="E16" s="148">
        <f t="shared" si="1"/>
        <v>57960</v>
      </c>
      <c r="F16" s="148">
        <f t="shared" si="1"/>
        <v>11500</v>
      </c>
      <c r="G16" s="148">
        <f t="shared" si="1"/>
        <v>16100</v>
      </c>
      <c r="H16" s="148">
        <f t="shared" si="1"/>
        <v>4830</v>
      </c>
      <c r="I16" s="148">
        <f t="shared" si="1"/>
        <v>70035</v>
      </c>
      <c r="J16" s="148">
        <f t="shared" si="1"/>
        <v>1200000</v>
      </c>
      <c r="K16" s="148">
        <f t="shared" si="1"/>
        <v>17500</v>
      </c>
      <c r="L16" s="148">
        <f t="shared" ref="L16" si="2">SUM(L4:L15)</f>
        <v>302500</v>
      </c>
      <c r="M16" s="204">
        <f>SUM(C16:L16)</f>
        <v>2075000</v>
      </c>
      <c r="N16" s="148">
        <f>SUM(N4:N15)</f>
        <v>125000</v>
      </c>
      <c r="O16" s="178">
        <f>SUM(O4:O15)</f>
        <v>2200000</v>
      </c>
    </row>
    <row r="18" spans="1:13" ht="23.25" x14ac:dyDescent="0.35">
      <c r="A18" s="38" t="s">
        <v>217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</row>
    <row r="19" spans="1:13" x14ac:dyDescent="0.25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</row>
    <row r="20" spans="1:13" ht="39" x14ac:dyDescent="0.25">
      <c r="A20" s="132"/>
      <c r="B20" s="133" t="s">
        <v>135</v>
      </c>
      <c r="C20" s="133" t="s">
        <v>142</v>
      </c>
      <c r="D20" s="133" t="s">
        <v>210</v>
      </c>
      <c r="E20" s="133" t="s">
        <v>144</v>
      </c>
      <c r="F20" s="133" t="s">
        <v>211</v>
      </c>
      <c r="G20" s="133" t="s">
        <v>198</v>
      </c>
      <c r="H20" s="133" t="s">
        <v>145</v>
      </c>
      <c r="I20" s="133" t="s">
        <v>160</v>
      </c>
      <c r="J20" s="133" t="s">
        <v>212</v>
      </c>
      <c r="K20" s="133" t="s">
        <v>213</v>
      </c>
      <c r="L20" s="134" t="s">
        <v>147</v>
      </c>
      <c r="M20" s="133" t="s">
        <v>162</v>
      </c>
    </row>
    <row r="21" spans="1:13" x14ac:dyDescent="0.25">
      <c r="A21" s="135" t="s">
        <v>31</v>
      </c>
      <c r="B21" s="136">
        <v>23202.080000000002</v>
      </c>
      <c r="C21" s="136">
        <v>9679.16</v>
      </c>
      <c r="D21" s="137">
        <v>19320</v>
      </c>
      <c r="E21" s="137"/>
      <c r="F21" s="137">
        <v>8050</v>
      </c>
      <c r="G21" s="137"/>
      <c r="H21" s="136">
        <v>5836.25</v>
      </c>
      <c r="I21" s="137">
        <v>400000</v>
      </c>
      <c r="J21" s="137">
        <v>2500</v>
      </c>
      <c r="K21" s="137">
        <v>50000</v>
      </c>
      <c r="L21" s="130">
        <f t="shared" ref="L21:L32" si="3">SUM(B21:K21)</f>
        <v>518587.49</v>
      </c>
      <c r="M21" s="138" t="s">
        <v>214</v>
      </c>
    </row>
    <row r="22" spans="1:13" x14ac:dyDescent="0.25">
      <c r="A22" s="135" t="s">
        <v>33</v>
      </c>
      <c r="B22" s="136">
        <v>23202.080000000002</v>
      </c>
      <c r="C22" s="136">
        <v>9679.16</v>
      </c>
      <c r="D22" s="137">
        <v>19320</v>
      </c>
      <c r="E22" s="137">
        <v>5750</v>
      </c>
      <c r="F22" s="137">
        <v>8050</v>
      </c>
      <c r="G22" s="137"/>
      <c r="H22" s="136">
        <v>5836.25</v>
      </c>
      <c r="I22" s="137"/>
      <c r="J22" s="137"/>
      <c r="K22" s="137">
        <v>2500</v>
      </c>
      <c r="L22" s="130">
        <f t="shared" si="3"/>
        <v>74337.490000000005</v>
      </c>
      <c r="M22" s="138" t="s">
        <v>215</v>
      </c>
    </row>
    <row r="23" spans="1:13" x14ac:dyDescent="0.25">
      <c r="A23" s="135" t="s">
        <v>34</v>
      </c>
      <c r="B23" s="136">
        <v>23202.080000000002</v>
      </c>
      <c r="C23" s="136">
        <v>9679.16</v>
      </c>
      <c r="D23" s="137">
        <v>19320</v>
      </c>
      <c r="E23" s="137">
        <v>5750</v>
      </c>
      <c r="F23" s="137"/>
      <c r="G23" s="137"/>
      <c r="H23" s="136">
        <v>5836.25</v>
      </c>
      <c r="I23" s="137"/>
      <c r="J23" s="137"/>
      <c r="K23" s="137">
        <v>50000</v>
      </c>
      <c r="L23" s="130">
        <f t="shared" si="3"/>
        <v>113787.49</v>
      </c>
      <c r="M23" s="138"/>
    </row>
    <row r="24" spans="1:13" x14ac:dyDescent="0.25">
      <c r="A24" s="135" t="s">
        <v>35</v>
      </c>
      <c r="B24" s="136">
        <v>23202.080000000002</v>
      </c>
      <c r="C24" s="136">
        <v>9679.16</v>
      </c>
      <c r="D24" s="137"/>
      <c r="E24" s="137"/>
      <c r="F24" s="137"/>
      <c r="G24" s="137">
        <v>4830</v>
      </c>
      <c r="H24" s="136">
        <v>5836.25</v>
      </c>
      <c r="I24" s="137"/>
      <c r="J24" s="137"/>
      <c r="K24" s="137"/>
      <c r="L24" s="130">
        <f t="shared" si="3"/>
        <v>43547.490000000005</v>
      </c>
      <c r="M24" s="138"/>
    </row>
    <row r="25" spans="1:13" x14ac:dyDescent="0.25">
      <c r="A25" s="135" t="s">
        <v>36</v>
      </c>
      <c r="B25" s="136">
        <v>23202.080000000002</v>
      </c>
      <c r="C25" s="136">
        <v>9679.16</v>
      </c>
      <c r="D25" s="137"/>
      <c r="F25" s="137"/>
      <c r="G25" s="137"/>
      <c r="H25" s="136">
        <v>5836.25</v>
      </c>
      <c r="I25" s="137"/>
      <c r="J25" s="137"/>
      <c r="K25" s="137">
        <v>50000</v>
      </c>
      <c r="L25" s="130">
        <f t="shared" si="3"/>
        <v>88717.49</v>
      </c>
      <c r="M25" s="138"/>
    </row>
    <row r="26" spans="1:13" x14ac:dyDescent="0.25">
      <c r="A26" s="135" t="s">
        <v>37</v>
      </c>
      <c r="B26" s="136">
        <v>23202.080000000002</v>
      </c>
      <c r="C26" s="136">
        <v>9679.16</v>
      </c>
      <c r="D26" s="137"/>
      <c r="F26" s="137"/>
      <c r="H26" s="136">
        <v>5836.25</v>
      </c>
      <c r="I26" s="137">
        <v>800000</v>
      </c>
      <c r="J26" s="137">
        <v>15000</v>
      </c>
      <c r="K26" s="137"/>
      <c r="L26" s="130">
        <f t="shared" si="3"/>
        <v>853717.49</v>
      </c>
      <c r="M26" s="138"/>
    </row>
    <row r="27" spans="1:13" x14ac:dyDescent="0.25">
      <c r="A27" s="135" t="s">
        <v>38</v>
      </c>
      <c r="B27" s="136">
        <v>23202.080000000002</v>
      </c>
      <c r="C27" s="136">
        <v>9679.16</v>
      </c>
      <c r="D27" s="137"/>
      <c r="F27" s="137"/>
      <c r="G27" s="137"/>
      <c r="H27" s="136">
        <v>5836.25</v>
      </c>
      <c r="I27" s="137"/>
      <c r="K27" s="137">
        <v>50000</v>
      </c>
      <c r="L27" s="130">
        <f t="shared" si="3"/>
        <v>88717.49</v>
      </c>
      <c r="M27" s="138"/>
    </row>
    <row r="28" spans="1:13" x14ac:dyDescent="0.25">
      <c r="A28" s="135" t="s">
        <v>39</v>
      </c>
      <c r="B28" s="136">
        <v>23202.080000000002</v>
      </c>
      <c r="C28" s="136">
        <v>9679.16</v>
      </c>
      <c r="D28" s="217"/>
      <c r="E28" s="137"/>
      <c r="F28" s="137"/>
      <c r="G28" s="137"/>
      <c r="H28" s="136">
        <v>5836.25</v>
      </c>
      <c r="I28" s="137"/>
      <c r="J28" s="137"/>
      <c r="K28" s="137"/>
      <c r="L28" s="130">
        <f t="shared" si="3"/>
        <v>38717.490000000005</v>
      </c>
      <c r="M28" s="138"/>
    </row>
    <row r="29" spans="1:13" x14ac:dyDescent="0.25">
      <c r="A29" s="135" t="s">
        <v>40</v>
      </c>
      <c r="B29" s="136">
        <v>23202.080000000002</v>
      </c>
      <c r="C29" s="136">
        <v>9679.16</v>
      </c>
      <c r="D29" s="137"/>
      <c r="E29" s="137"/>
      <c r="F29" s="137"/>
      <c r="G29" s="137"/>
      <c r="H29" s="136">
        <v>5836.25</v>
      </c>
      <c r="I29" s="137"/>
      <c r="J29" s="137"/>
      <c r="K29" s="137">
        <v>50000</v>
      </c>
      <c r="L29" s="130">
        <f t="shared" si="3"/>
        <v>88717.49</v>
      </c>
      <c r="M29" s="138"/>
    </row>
    <row r="30" spans="1:13" x14ac:dyDescent="0.25">
      <c r="A30" s="135" t="s">
        <v>41</v>
      </c>
      <c r="B30" s="136">
        <v>23202.080000000002</v>
      </c>
      <c r="C30" s="136">
        <v>9679.16</v>
      </c>
      <c r="D30" s="137"/>
      <c r="E30" s="137"/>
      <c r="F30" s="137"/>
      <c r="G30" s="137"/>
      <c r="H30" s="136">
        <v>5836.25</v>
      </c>
      <c r="I30" s="137"/>
      <c r="J30" s="137"/>
      <c r="K30" s="137"/>
      <c r="L30" s="130">
        <f t="shared" si="3"/>
        <v>38717.490000000005</v>
      </c>
      <c r="M30" s="138"/>
    </row>
    <row r="31" spans="1:13" x14ac:dyDescent="0.25">
      <c r="A31" s="135" t="s">
        <v>42</v>
      </c>
      <c r="B31" s="136">
        <v>23202.080000000002</v>
      </c>
      <c r="C31" s="136">
        <v>9679.16</v>
      </c>
      <c r="D31" s="137"/>
      <c r="E31" s="137"/>
      <c r="F31" s="137"/>
      <c r="G31" s="137"/>
      <c r="H31" s="136">
        <v>5836.25</v>
      </c>
      <c r="I31" s="137"/>
      <c r="J31" s="137"/>
      <c r="K31" s="137">
        <v>50000</v>
      </c>
      <c r="L31" s="130">
        <f t="shared" si="3"/>
        <v>88717.49</v>
      </c>
      <c r="M31" s="138"/>
    </row>
    <row r="32" spans="1:13" x14ac:dyDescent="0.25">
      <c r="A32" s="135" t="s">
        <v>43</v>
      </c>
      <c r="B32" s="136">
        <v>23202.12</v>
      </c>
      <c r="C32" s="136">
        <v>9679.24</v>
      </c>
      <c r="D32" s="137"/>
      <c r="E32" s="137"/>
      <c r="F32" s="137"/>
      <c r="G32" s="137"/>
      <c r="H32" s="136">
        <v>5836.25</v>
      </c>
      <c r="I32" s="137"/>
      <c r="J32" s="137"/>
      <c r="K32" s="137"/>
      <c r="L32" s="130">
        <f t="shared" si="3"/>
        <v>38717.61</v>
      </c>
      <c r="M32" s="138"/>
    </row>
    <row r="33" spans="1:14" ht="15.75" thickBot="1" x14ac:dyDescent="0.3">
      <c r="A33" s="139" t="s">
        <v>152</v>
      </c>
      <c r="B33" s="139">
        <f t="shared" ref="B33:L33" si="4">SUM(B21:B32)</f>
        <v>278425.00000000006</v>
      </c>
      <c r="C33" s="139">
        <f t="shared" si="4"/>
        <v>116150.00000000003</v>
      </c>
      <c r="D33" s="139">
        <f t="shared" si="4"/>
        <v>57960</v>
      </c>
      <c r="E33" s="139">
        <f t="shared" si="4"/>
        <v>11500</v>
      </c>
      <c r="F33" s="139">
        <f t="shared" si="4"/>
        <v>16100</v>
      </c>
      <c r="G33" s="139">
        <f t="shared" si="4"/>
        <v>4830</v>
      </c>
      <c r="H33" s="139">
        <f t="shared" si="4"/>
        <v>70035</v>
      </c>
      <c r="I33" s="139">
        <f t="shared" si="4"/>
        <v>1200000</v>
      </c>
      <c r="J33" s="139">
        <f t="shared" si="4"/>
        <v>17500</v>
      </c>
      <c r="K33" s="139">
        <f t="shared" si="4"/>
        <v>302500</v>
      </c>
      <c r="L33" s="139">
        <f t="shared" si="4"/>
        <v>2075000</v>
      </c>
      <c r="M33" s="140"/>
    </row>
    <row r="34" spans="1:14" ht="15.75" thickTop="1" x14ac:dyDescent="0.25"/>
    <row r="37" spans="1:14" ht="23.25" x14ac:dyDescent="0.35">
      <c r="B37" s="131" t="s">
        <v>216</v>
      </c>
      <c r="C37" s="131"/>
      <c r="D37" s="131"/>
    </row>
    <row r="38" spans="1:14" x14ac:dyDescent="0.25">
      <c r="B38" s="174"/>
      <c r="C38" s="318" t="s">
        <v>170</v>
      </c>
      <c r="D38" s="319"/>
      <c r="E38" s="319"/>
      <c r="F38" s="319"/>
      <c r="G38" s="319"/>
      <c r="H38" s="319"/>
      <c r="I38" s="319"/>
      <c r="J38" s="319"/>
      <c r="K38" s="319"/>
      <c r="L38" s="319"/>
      <c r="M38" s="320"/>
      <c r="N38" s="179"/>
    </row>
    <row r="39" spans="1:14" ht="39" x14ac:dyDescent="0.25">
      <c r="B39" s="151"/>
      <c r="C39" s="176" t="s">
        <v>135</v>
      </c>
      <c r="D39" s="173" t="s">
        <v>227</v>
      </c>
      <c r="E39" s="173" t="s">
        <v>226</v>
      </c>
      <c r="F39" s="173" t="s">
        <v>144</v>
      </c>
      <c r="G39" s="173" t="s">
        <v>225</v>
      </c>
      <c r="H39" s="173" t="s">
        <v>177</v>
      </c>
      <c r="I39" s="173" t="s">
        <v>145</v>
      </c>
      <c r="J39" s="173" t="s">
        <v>160</v>
      </c>
      <c r="K39" s="177" t="s">
        <v>212</v>
      </c>
      <c r="L39" s="177" t="s">
        <v>213</v>
      </c>
      <c r="M39" s="173" t="s">
        <v>162</v>
      </c>
      <c r="N39" s="180" t="s">
        <v>147</v>
      </c>
    </row>
    <row r="40" spans="1:14" x14ac:dyDescent="0.25">
      <c r="B40" s="151" t="s">
        <v>31</v>
      </c>
      <c r="C40" s="136">
        <v>23202.080000000002</v>
      </c>
      <c r="D40" s="136">
        <v>9679.16</v>
      </c>
      <c r="E40" s="137">
        <v>19320</v>
      </c>
      <c r="F40" s="137"/>
      <c r="G40" s="137">
        <v>8050</v>
      </c>
      <c r="H40" s="137"/>
      <c r="I40" s="136">
        <v>5836.25</v>
      </c>
      <c r="J40" s="137">
        <v>400000</v>
      </c>
      <c r="K40" s="137">
        <v>2500</v>
      </c>
      <c r="L40" s="137">
        <v>50000</v>
      </c>
      <c r="M40" s="138" t="s">
        <v>214</v>
      </c>
      <c r="N40" s="156">
        <f>SUM(C40:L40)</f>
        <v>518587.49</v>
      </c>
    </row>
    <row r="41" spans="1:14" x14ac:dyDescent="0.25">
      <c r="B41" s="151" t="s">
        <v>33</v>
      </c>
      <c r="C41" s="136">
        <v>23202.080000000002</v>
      </c>
      <c r="D41" s="136">
        <v>9679.16</v>
      </c>
      <c r="E41" s="137">
        <v>19320</v>
      </c>
      <c r="F41" s="137">
        <v>5750</v>
      </c>
      <c r="G41" s="137">
        <v>8050</v>
      </c>
      <c r="H41" s="137"/>
      <c r="I41" s="136">
        <v>5836.25</v>
      </c>
      <c r="J41" s="137"/>
      <c r="K41" s="137"/>
      <c r="L41" s="137">
        <v>2500</v>
      </c>
      <c r="M41" s="138" t="s">
        <v>215</v>
      </c>
      <c r="N41" s="156">
        <f t="shared" ref="N41:N52" si="5">SUM(C41:L41)</f>
        <v>74337.490000000005</v>
      </c>
    </row>
    <row r="42" spans="1:14" x14ac:dyDescent="0.25">
      <c r="B42" s="151" t="s">
        <v>34</v>
      </c>
      <c r="C42" s="136">
        <v>23202.080000000002</v>
      </c>
      <c r="D42" s="136">
        <v>9679.16</v>
      </c>
      <c r="E42" s="137">
        <v>19320</v>
      </c>
      <c r="F42" s="137">
        <v>5750</v>
      </c>
      <c r="G42" s="137"/>
      <c r="H42" s="137"/>
      <c r="I42" s="136">
        <v>5836.25</v>
      </c>
      <c r="J42" s="137"/>
      <c r="K42" s="137"/>
      <c r="L42" s="137">
        <v>50000</v>
      </c>
      <c r="M42" s="138"/>
      <c r="N42" s="156">
        <f t="shared" si="5"/>
        <v>113787.49</v>
      </c>
    </row>
    <row r="43" spans="1:14" x14ac:dyDescent="0.25">
      <c r="B43" s="151" t="s">
        <v>35</v>
      </c>
      <c r="C43" s="136">
        <v>23202.080000000002</v>
      </c>
      <c r="D43" s="136">
        <v>9679.16</v>
      </c>
      <c r="E43" s="137"/>
      <c r="F43" s="137"/>
      <c r="G43" s="137"/>
      <c r="H43" s="137">
        <v>4830</v>
      </c>
      <c r="I43" s="136">
        <v>5836.25</v>
      </c>
      <c r="J43" s="137"/>
      <c r="K43" s="137"/>
      <c r="L43" s="137"/>
      <c r="M43" s="138"/>
      <c r="N43" s="156">
        <f t="shared" si="5"/>
        <v>43547.490000000005</v>
      </c>
    </row>
    <row r="44" spans="1:14" x14ac:dyDescent="0.25">
      <c r="B44" s="151" t="s">
        <v>36</v>
      </c>
      <c r="C44" s="136">
        <v>23202.080000000002</v>
      </c>
      <c r="D44" s="136">
        <v>9679.16</v>
      </c>
      <c r="E44" s="137"/>
      <c r="G44" s="137"/>
      <c r="H44" s="137"/>
      <c r="I44" s="136">
        <v>5836.25</v>
      </c>
      <c r="J44" s="137"/>
      <c r="K44" s="137"/>
      <c r="L44" s="137">
        <v>50000</v>
      </c>
      <c r="M44" s="138"/>
      <c r="N44" s="156">
        <f t="shared" si="5"/>
        <v>88717.49</v>
      </c>
    </row>
    <row r="45" spans="1:14" x14ac:dyDescent="0.25">
      <c r="B45" s="151" t="s">
        <v>37</v>
      </c>
      <c r="C45" s="136">
        <v>23202.080000000002</v>
      </c>
      <c r="D45" s="136">
        <v>9679.16</v>
      </c>
      <c r="E45" s="137"/>
      <c r="G45" s="137"/>
      <c r="I45" s="136">
        <v>5836.25</v>
      </c>
      <c r="J45" s="137">
        <v>800000</v>
      </c>
      <c r="K45" s="137">
        <v>15000</v>
      </c>
      <c r="L45" s="137"/>
      <c r="M45" s="138"/>
      <c r="N45" s="156">
        <f t="shared" si="5"/>
        <v>853717.49</v>
      </c>
    </row>
    <row r="46" spans="1:14" x14ac:dyDescent="0.25">
      <c r="B46" s="151" t="s">
        <v>38</v>
      </c>
      <c r="C46" s="136">
        <v>23202.080000000002</v>
      </c>
      <c r="D46" s="136">
        <v>9679.16</v>
      </c>
      <c r="E46" s="137"/>
      <c r="G46" s="137"/>
      <c r="H46" s="137"/>
      <c r="I46" s="136">
        <v>5836.25</v>
      </c>
      <c r="J46" s="137"/>
      <c r="L46" s="137">
        <v>50000</v>
      </c>
      <c r="M46" s="138"/>
      <c r="N46" s="156">
        <f t="shared" si="5"/>
        <v>88717.49</v>
      </c>
    </row>
    <row r="47" spans="1:14" x14ac:dyDescent="0.25">
      <c r="B47" s="151" t="s">
        <v>39</v>
      </c>
      <c r="C47" s="136">
        <v>23202.080000000002</v>
      </c>
      <c r="D47" s="136">
        <v>9679.16</v>
      </c>
      <c r="E47" s="217"/>
      <c r="F47" s="137"/>
      <c r="G47" s="137"/>
      <c r="H47" s="137"/>
      <c r="I47" s="136">
        <v>5836.25</v>
      </c>
      <c r="J47" s="137"/>
      <c r="K47" s="137"/>
      <c r="L47" s="137"/>
      <c r="M47" s="138"/>
      <c r="N47" s="156">
        <f t="shared" si="5"/>
        <v>38717.490000000005</v>
      </c>
    </row>
    <row r="48" spans="1:14" x14ac:dyDescent="0.25">
      <c r="B48" s="151" t="s">
        <v>40</v>
      </c>
      <c r="C48" s="136">
        <v>23202.080000000002</v>
      </c>
      <c r="D48" s="136">
        <v>9679.16</v>
      </c>
      <c r="E48" s="137"/>
      <c r="F48" s="137"/>
      <c r="G48" s="137"/>
      <c r="H48" s="137"/>
      <c r="I48" s="136">
        <v>5836.25</v>
      </c>
      <c r="J48" s="137"/>
      <c r="K48" s="137"/>
      <c r="L48" s="137">
        <v>50000</v>
      </c>
      <c r="M48" s="138"/>
      <c r="N48" s="156">
        <f t="shared" si="5"/>
        <v>88717.49</v>
      </c>
    </row>
    <row r="49" spans="2:17" x14ac:dyDescent="0.25">
      <c r="B49" s="151" t="s">
        <v>41</v>
      </c>
      <c r="C49" s="136">
        <v>23202.080000000002</v>
      </c>
      <c r="D49" s="136">
        <v>9679.16</v>
      </c>
      <c r="E49" s="137"/>
      <c r="F49" s="137"/>
      <c r="G49" s="137"/>
      <c r="H49" s="137"/>
      <c r="I49" s="136">
        <v>5836.25</v>
      </c>
      <c r="J49" s="137"/>
      <c r="K49" s="137"/>
      <c r="L49" s="137"/>
      <c r="M49" s="138"/>
      <c r="N49" s="156">
        <f t="shared" si="5"/>
        <v>38717.490000000005</v>
      </c>
    </row>
    <row r="50" spans="2:17" x14ac:dyDescent="0.25">
      <c r="B50" s="151" t="s">
        <v>42</v>
      </c>
      <c r="C50" s="136">
        <v>23202.080000000002</v>
      </c>
      <c r="D50" s="136">
        <v>9679.16</v>
      </c>
      <c r="E50" s="137"/>
      <c r="F50" s="137"/>
      <c r="G50" s="137"/>
      <c r="H50" s="137"/>
      <c r="I50" s="136">
        <v>5836.25</v>
      </c>
      <c r="J50" s="137"/>
      <c r="K50" s="137"/>
      <c r="L50" s="137">
        <v>50000</v>
      </c>
      <c r="M50" s="138"/>
      <c r="N50" s="156">
        <f t="shared" si="5"/>
        <v>88717.49</v>
      </c>
      <c r="Q50" t="s">
        <v>246</v>
      </c>
    </row>
    <row r="51" spans="2:17" x14ac:dyDescent="0.25">
      <c r="B51" s="165" t="s">
        <v>43</v>
      </c>
      <c r="C51" s="136">
        <v>23202.12</v>
      </c>
      <c r="D51" s="136">
        <v>9679.24</v>
      </c>
      <c r="E51" s="137"/>
      <c r="F51" s="137"/>
      <c r="G51" s="137"/>
      <c r="H51" s="137"/>
      <c r="I51" s="136">
        <v>5836.25</v>
      </c>
      <c r="J51" s="137"/>
      <c r="K51" s="137"/>
      <c r="L51" s="137"/>
      <c r="M51" s="138"/>
      <c r="N51" s="156">
        <f t="shared" si="5"/>
        <v>38717.61</v>
      </c>
    </row>
    <row r="52" spans="2:17" x14ac:dyDescent="0.25">
      <c r="B52" s="163" t="s">
        <v>152</v>
      </c>
      <c r="C52" s="148">
        <f t="shared" ref="C52:L52" si="6">SUM(C40:C51)</f>
        <v>278425.00000000006</v>
      </c>
      <c r="D52" s="148">
        <f t="shared" si="6"/>
        <v>116150.00000000003</v>
      </c>
      <c r="E52" s="148">
        <f t="shared" si="6"/>
        <v>57960</v>
      </c>
      <c r="F52" s="148">
        <f t="shared" si="6"/>
        <v>11500</v>
      </c>
      <c r="G52" s="148">
        <f t="shared" si="6"/>
        <v>16100</v>
      </c>
      <c r="H52" s="148">
        <f t="shared" si="6"/>
        <v>4830</v>
      </c>
      <c r="I52" s="148">
        <f t="shared" si="6"/>
        <v>70035</v>
      </c>
      <c r="J52" s="148">
        <f t="shared" si="6"/>
        <v>1200000</v>
      </c>
      <c r="K52" s="148">
        <f t="shared" si="6"/>
        <v>17500</v>
      </c>
      <c r="L52" s="148">
        <f t="shared" si="6"/>
        <v>302500</v>
      </c>
      <c r="M52" s="204"/>
      <c r="N52" s="281">
        <f t="shared" si="5"/>
        <v>2075000</v>
      </c>
    </row>
    <row r="58" spans="2:17" x14ac:dyDescent="0.25">
      <c r="C58" s="5" t="s">
        <v>247</v>
      </c>
    </row>
    <row r="59" spans="2:17" x14ac:dyDescent="0.25">
      <c r="C59" s="282" t="s">
        <v>135</v>
      </c>
      <c r="D59" s="283"/>
      <c r="E59" s="288">
        <v>278425.00000000006</v>
      </c>
    </row>
    <row r="60" spans="2:17" x14ac:dyDescent="0.25">
      <c r="C60" s="282" t="s">
        <v>248</v>
      </c>
      <c r="D60" s="284"/>
      <c r="E60" s="288">
        <v>1270035</v>
      </c>
    </row>
    <row r="61" spans="2:17" x14ac:dyDescent="0.25">
      <c r="C61" s="282" t="s">
        <v>249</v>
      </c>
      <c r="D61" s="283"/>
      <c r="E61" s="288">
        <v>418650</v>
      </c>
    </row>
    <row r="62" spans="2:17" x14ac:dyDescent="0.25">
      <c r="C62" s="285" t="s">
        <v>250</v>
      </c>
      <c r="D62" s="286"/>
      <c r="E62" s="289">
        <v>29000</v>
      </c>
    </row>
    <row r="63" spans="2:17" x14ac:dyDescent="0.25">
      <c r="C63" s="287" t="s">
        <v>206</v>
      </c>
      <c r="D63" s="3"/>
      <c r="E63" s="290">
        <v>1996110</v>
      </c>
    </row>
  </sheetData>
  <mergeCells count="2">
    <mergeCell ref="C2:M2"/>
    <mergeCell ref="C38:M38"/>
  </mergeCells>
  <conditionalFormatting sqref="M3:O3 N4:O6 M7:O16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{6F419F23-6684-4EEF-9E55-A1C3171392D6}</x14:id>
        </ext>
      </extLst>
    </cfRule>
  </conditionalFormatting>
  <conditionalFormatting sqref="M43:M52 M39 N39:N52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{FCE16D4E-3A12-4667-BED2-44F1EABF0CCE}</x14:id>
        </ext>
      </extLst>
    </cfRule>
  </conditionalFormatting>
  <pageMargins left="0.7" right="0.7" top="0.75" bottom="0.75" header="0.3" footer="0.3"/>
  <pageSetup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F419F23-6684-4EEF-9E55-A1C3171392D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M3:O3 N4:O6 M7:O16</xm:sqref>
        </x14:conditionalFormatting>
        <x14:conditionalFormatting xmlns:xm="http://schemas.microsoft.com/office/excel/2006/main">
          <x14:cfRule type="dataBar" id="{FCE16D4E-3A12-4667-BED2-44F1EABF0CC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M43:M52 M39 N39:N52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8"/>
  <sheetViews>
    <sheetView workbookViewId="0">
      <selection activeCell="A3" sqref="A3:N19"/>
    </sheetView>
  </sheetViews>
  <sheetFormatPr defaultRowHeight="15" x14ac:dyDescent="0.25"/>
  <cols>
    <col min="1" max="1" width="9.5703125" customWidth="1"/>
    <col min="2" max="3" width="11.42578125" customWidth="1"/>
    <col min="4" max="4" width="12.42578125" customWidth="1"/>
    <col min="5" max="5" width="11.85546875" customWidth="1"/>
    <col min="6" max="6" width="12.7109375" customWidth="1"/>
    <col min="7" max="7" width="13.7109375" customWidth="1"/>
    <col min="8" max="8" width="10" customWidth="1"/>
    <col min="9" max="9" width="11.5703125" customWidth="1"/>
    <col min="10" max="10" width="11.85546875" customWidth="1"/>
    <col min="11" max="11" width="12.5703125" customWidth="1"/>
    <col min="12" max="12" width="10.42578125" customWidth="1"/>
    <col min="13" max="13" width="11.28515625" customWidth="1"/>
    <col min="14" max="15" width="14.140625" customWidth="1"/>
    <col min="16" max="16" width="17.7109375" customWidth="1"/>
    <col min="17" max="17" width="19.85546875" customWidth="1"/>
  </cols>
  <sheetData>
    <row r="2" spans="1:17" ht="15.75" thickBot="1" x14ac:dyDescent="0.3"/>
    <row r="3" spans="1:17" ht="24" thickBot="1" x14ac:dyDescent="0.3">
      <c r="A3" s="240" t="s">
        <v>230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2"/>
    </row>
    <row r="4" spans="1:17" ht="15.75" thickBot="1" x14ac:dyDescent="0.3">
      <c r="A4" s="243"/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Q4" s="242"/>
    </row>
    <row r="5" spans="1:17" ht="15.75" thickBot="1" x14ac:dyDescent="0.3">
      <c r="A5" s="244" t="s">
        <v>231</v>
      </c>
      <c r="B5" s="245">
        <v>122914</v>
      </c>
      <c r="C5" s="245">
        <v>122654</v>
      </c>
      <c r="D5" s="245">
        <v>122655</v>
      </c>
      <c r="E5" s="245">
        <v>122656</v>
      </c>
      <c r="F5" s="245">
        <v>122657</v>
      </c>
      <c r="G5" s="245">
        <v>122658.01</v>
      </c>
      <c r="H5" s="245">
        <v>122658.02</v>
      </c>
      <c r="I5" s="245">
        <v>122658.03</v>
      </c>
      <c r="J5" s="245">
        <v>122653</v>
      </c>
      <c r="K5" s="245"/>
      <c r="L5" s="245"/>
      <c r="M5" s="245"/>
      <c r="N5" s="243"/>
      <c r="Q5" s="242"/>
    </row>
    <row r="6" spans="1:17" ht="51.75" thickBot="1" x14ac:dyDescent="0.3">
      <c r="A6" s="247" t="s">
        <v>57</v>
      </c>
      <c r="B6" s="248" t="s">
        <v>135</v>
      </c>
      <c r="C6" s="248" t="s">
        <v>232</v>
      </c>
      <c r="D6" s="248" t="s">
        <v>233</v>
      </c>
      <c r="E6" s="248" t="s">
        <v>234</v>
      </c>
      <c r="F6" s="248" t="s">
        <v>235</v>
      </c>
      <c r="G6" s="248" t="s">
        <v>236</v>
      </c>
      <c r="H6" s="248" t="s">
        <v>237</v>
      </c>
      <c r="I6" s="248" t="s">
        <v>198</v>
      </c>
      <c r="J6" s="248" t="s">
        <v>238</v>
      </c>
      <c r="K6" s="248" t="s">
        <v>239</v>
      </c>
      <c r="L6" s="248" t="s">
        <v>240</v>
      </c>
      <c r="M6" s="248" t="s">
        <v>241</v>
      </c>
      <c r="N6" s="249" t="s">
        <v>147</v>
      </c>
      <c r="Q6" s="242"/>
    </row>
    <row r="7" spans="1:17" ht="15.75" thickBot="1" x14ac:dyDescent="0.3">
      <c r="A7" s="250" t="s">
        <v>31</v>
      </c>
      <c r="B7" s="261">
        <v>11000</v>
      </c>
      <c r="C7" s="261">
        <v>10000</v>
      </c>
      <c r="D7" s="261">
        <v>2145</v>
      </c>
      <c r="E7" s="262">
        <v>820</v>
      </c>
      <c r="F7" s="261">
        <v>4625</v>
      </c>
      <c r="G7" s="261">
        <v>2123</v>
      </c>
      <c r="H7" s="251"/>
      <c r="I7" s="251"/>
      <c r="J7" s="252">
        <v>6500</v>
      </c>
      <c r="K7" s="253">
        <v>311385</v>
      </c>
      <c r="L7" s="251"/>
      <c r="M7" s="253">
        <v>100000</v>
      </c>
      <c r="N7" s="254">
        <v>448598</v>
      </c>
      <c r="Q7" s="242"/>
    </row>
    <row r="8" spans="1:17" ht="15.75" thickBot="1" x14ac:dyDescent="0.3">
      <c r="A8" s="250" t="s">
        <v>33</v>
      </c>
      <c r="B8" s="261">
        <v>11000</v>
      </c>
      <c r="C8" s="261">
        <v>18000</v>
      </c>
      <c r="D8" s="261">
        <v>2145</v>
      </c>
      <c r="E8" s="262">
        <v>520</v>
      </c>
      <c r="F8" s="261">
        <v>1625</v>
      </c>
      <c r="G8" s="261">
        <v>2123</v>
      </c>
      <c r="H8" s="252">
        <v>3000</v>
      </c>
      <c r="I8" s="251"/>
      <c r="J8" s="252">
        <v>6500</v>
      </c>
      <c r="K8" s="251"/>
      <c r="L8" s="253">
        <v>35000</v>
      </c>
      <c r="M8" s="253">
        <v>200000</v>
      </c>
      <c r="N8" s="254">
        <v>279913</v>
      </c>
      <c r="Q8" s="242"/>
    </row>
    <row r="9" spans="1:17" ht="15.75" thickBot="1" x14ac:dyDescent="0.3">
      <c r="A9" s="250" t="s">
        <v>34</v>
      </c>
      <c r="B9" s="252">
        <v>11000</v>
      </c>
      <c r="C9" s="252">
        <v>25000</v>
      </c>
      <c r="D9" s="252">
        <v>2145</v>
      </c>
      <c r="E9" s="255">
        <v>520</v>
      </c>
      <c r="F9" s="252">
        <v>1625</v>
      </c>
      <c r="G9" s="252">
        <v>2123</v>
      </c>
      <c r="H9" s="252">
        <v>5000</v>
      </c>
      <c r="I9" s="251"/>
      <c r="J9" s="252">
        <v>6500</v>
      </c>
      <c r="K9" s="251"/>
      <c r="L9" s="251"/>
      <c r="M9" s="253">
        <v>30000</v>
      </c>
      <c r="N9" s="254">
        <v>83913</v>
      </c>
      <c r="Q9" s="242"/>
    </row>
    <row r="10" spans="1:17" ht="15.75" thickBot="1" x14ac:dyDescent="0.3">
      <c r="A10" s="276" t="s">
        <v>35</v>
      </c>
      <c r="B10" s="277">
        <v>11000</v>
      </c>
      <c r="C10" s="277">
        <v>25000</v>
      </c>
      <c r="D10" s="277">
        <v>2145</v>
      </c>
      <c r="E10" s="278">
        <v>520</v>
      </c>
      <c r="F10" s="277">
        <v>1625</v>
      </c>
      <c r="G10" s="277">
        <v>2123</v>
      </c>
      <c r="H10" s="277">
        <v>5000</v>
      </c>
      <c r="I10" s="279"/>
      <c r="J10" s="277">
        <v>6500</v>
      </c>
      <c r="K10" s="280">
        <v>311385</v>
      </c>
      <c r="L10" s="279"/>
      <c r="M10" s="279"/>
      <c r="N10" s="254">
        <v>365298</v>
      </c>
      <c r="Q10" s="242"/>
    </row>
    <row r="11" spans="1:17" ht="15.75" thickBot="1" x14ac:dyDescent="0.3">
      <c r="A11" s="250" t="s">
        <v>36</v>
      </c>
      <c r="B11" s="252">
        <v>11000</v>
      </c>
      <c r="C11" s="252">
        <v>25000</v>
      </c>
      <c r="D11" s="252">
        <v>2145</v>
      </c>
      <c r="E11" s="255">
        <v>520</v>
      </c>
      <c r="F11" s="252">
        <v>1625</v>
      </c>
      <c r="G11" s="252">
        <v>2123</v>
      </c>
      <c r="H11" s="251"/>
      <c r="I11" s="251"/>
      <c r="J11" s="252">
        <v>6500</v>
      </c>
      <c r="K11" s="251"/>
      <c r="L11" s="251"/>
      <c r="M11" s="251"/>
      <c r="N11" s="254">
        <v>48913</v>
      </c>
      <c r="Q11" s="242"/>
    </row>
    <row r="12" spans="1:17" ht="15.75" thickBot="1" x14ac:dyDescent="0.3">
      <c r="A12" s="250" t="s">
        <v>37</v>
      </c>
      <c r="B12" s="252">
        <v>11000</v>
      </c>
      <c r="C12" s="252">
        <v>10000</v>
      </c>
      <c r="D12" s="252">
        <v>2145</v>
      </c>
      <c r="E12" s="255">
        <v>520</v>
      </c>
      <c r="F12" s="252">
        <v>1625</v>
      </c>
      <c r="G12" s="252">
        <v>2123</v>
      </c>
      <c r="H12" s="251"/>
      <c r="I12" s="252">
        <v>5200</v>
      </c>
      <c r="J12" s="252">
        <v>6500</v>
      </c>
      <c r="K12" s="251"/>
      <c r="L12" s="251"/>
      <c r="M12" s="251"/>
      <c r="N12" s="254">
        <v>39113</v>
      </c>
      <c r="Q12" s="242"/>
    </row>
    <row r="13" spans="1:17" ht="15.75" thickBot="1" x14ac:dyDescent="0.3">
      <c r="A13" s="250" t="s">
        <v>38</v>
      </c>
      <c r="B13" s="252">
        <v>11000</v>
      </c>
      <c r="C13" s="252">
        <v>6000</v>
      </c>
      <c r="D13" s="252">
        <v>2145</v>
      </c>
      <c r="E13" s="255">
        <v>520</v>
      </c>
      <c r="F13" s="252">
        <v>1625</v>
      </c>
      <c r="G13" s="252">
        <v>2123</v>
      </c>
      <c r="H13" s="251"/>
      <c r="I13" s="251"/>
      <c r="J13" s="252">
        <v>6500</v>
      </c>
      <c r="K13" s="253">
        <v>311385</v>
      </c>
      <c r="L13" s="251"/>
      <c r="M13" s="251"/>
      <c r="N13" s="254">
        <v>341298</v>
      </c>
      <c r="Q13" s="242"/>
    </row>
    <row r="14" spans="1:17" ht="15.75" thickBot="1" x14ac:dyDescent="0.3">
      <c r="A14" s="250" t="s">
        <v>39</v>
      </c>
      <c r="B14" s="252">
        <v>11000</v>
      </c>
      <c r="C14" s="252">
        <v>5000</v>
      </c>
      <c r="D14" s="252">
        <v>2145</v>
      </c>
      <c r="E14" s="255">
        <v>520</v>
      </c>
      <c r="F14" s="252">
        <v>1625</v>
      </c>
      <c r="G14" s="252">
        <v>2123</v>
      </c>
      <c r="H14" s="251"/>
      <c r="I14" s="251"/>
      <c r="J14" s="252">
        <v>6500</v>
      </c>
      <c r="K14" s="251"/>
      <c r="L14" s="251"/>
      <c r="M14" s="251"/>
      <c r="N14" s="254">
        <v>28913</v>
      </c>
      <c r="Q14" s="242"/>
    </row>
    <row r="15" spans="1:17" ht="15.75" thickBot="1" x14ac:dyDescent="0.3">
      <c r="A15" s="250" t="s">
        <v>40</v>
      </c>
      <c r="B15" s="252">
        <v>11000</v>
      </c>
      <c r="C15" s="252">
        <v>8000</v>
      </c>
      <c r="D15" s="252">
        <v>2145</v>
      </c>
      <c r="E15" s="255">
        <v>520</v>
      </c>
      <c r="F15" s="252">
        <v>1625</v>
      </c>
      <c r="G15" s="252">
        <v>2123</v>
      </c>
      <c r="H15" s="251"/>
      <c r="I15" s="251"/>
      <c r="J15" s="252">
        <v>6500</v>
      </c>
      <c r="K15" s="251"/>
      <c r="L15" s="251"/>
      <c r="M15" s="251"/>
      <c r="N15" s="254">
        <v>31913</v>
      </c>
      <c r="Q15" s="242"/>
    </row>
    <row r="16" spans="1:17" ht="15.75" thickBot="1" x14ac:dyDescent="0.3">
      <c r="A16" s="250" t="s">
        <v>41</v>
      </c>
      <c r="B16" s="252">
        <v>11000</v>
      </c>
      <c r="C16" s="252">
        <v>8000</v>
      </c>
      <c r="D16" s="252">
        <v>2145</v>
      </c>
      <c r="E16" s="255">
        <v>520</v>
      </c>
      <c r="F16" s="252">
        <v>1625</v>
      </c>
      <c r="G16" s="252">
        <v>2123</v>
      </c>
      <c r="H16" s="251"/>
      <c r="I16" s="251"/>
      <c r="J16" s="252">
        <v>6500</v>
      </c>
      <c r="K16" s="253">
        <v>311385</v>
      </c>
      <c r="L16" s="251"/>
      <c r="M16" s="251"/>
      <c r="N16" s="254">
        <v>343298</v>
      </c>
      <c r="Q16" s="242"/>
    </row>
    <row r="17" spans="1:17" ht="15.75" thickBot="1" x14ac:dyDescent="0.3">
      <c r="A17" s="250" t="s">
        <v>42</v>
      </c>
      <c r="B17" s="252">
        <v>11000</v>
      </c>
      <c r="C17" s="252">
        <v>8000</v>
      </c>
      <c r="D17" s="252">
        <v>2145</v>
      </c>
      <c r="E17" s="255">
        <v>520</v>
      </c>
      <c r="F17" s="252">
        <v>1625</v>
      </c>
      <c r="G17" s="252">
        <v>2123</v>
      </c>
      <c r="H17" s="251"/>
      <c r="I17" s="251"/>
      <c r="J17" s="252">
        <v>6500</v>
      </c>
      <c r="K17" s="251"/>
      <c r="L17" s="251"/>
      <c r="M17" s="251"/>
      <c r="N17" s="254">
        <v>31913</v>
      </c>
      <c r="Q17" s="242"/>
    </row>
    <row r="18" spans="1:17" ht="15.75" thickBot="1" x14ac:dyDescent="0.3">
      <c r="A18" s="256" t="s">
        <v>43</v>
      </c>
      <c r="B18" s="257">
        <v>11000</v>
      </c>
      <c r="C18" s="257">
        <v>8000</v>
      </c>
      <c r="D18" s="257">
        <v>2145</v>
      </c>
      <c r="E18" s="258">
        <v>520</v>
      </c>
      <c r="F18" s="257">
        <v>1625</v>
      </c>
      <c r="G18" s="257">
        <v>2127</v>
      </c>
      <c r="H18" s="246"/>
      <c r="I18" s="246"/>
      <c r="J18" s="257">
        <v>6500</v>
      </c>
      <c r="K18" s="246"/>
      <c r="L18" s="246"/>
      <c r="M18" s="246"/>
      <c r="N18" s="254">
        <v>31917</v>
      </c>
      <c r="Q18" s="242"/>
    </row>
    <row r="19" spans="1:17" ht="15.75" thickBot="1" x14ac:dyDescent="0.3">
      <c r="A19" s="259" t="s">
        <v>152</v>
      </c>
      <c r="B19" s="260">
        <v>132000</v>
      </c>
      <c r="C19" s="260">
        <v>156000</v>
      </c>
      <c r="D19" s="260">
        <v>25740</v>
      </c>
      <c r="E19" s="260">
        <v>6540</v>
      </c>
      <c r="F19" s="260">
        <v>22500</v>
      </c>
      <c r="G19" s="260">
        <v>25480</v>
      </c>
      <c r="H19" s="260">
        <v>13000</v>
      </c>
      <c r="I19" s="260">
        <v>5200</v>
      </c>
      <c r="J19" s="260">
        <v>78000</v>
      </c>
      <c r="K19" s="260">
        <v>1245540</v>
      </c>
      <c r="L19" s="260">
        <v>35000</v>
      </c>
      <c r="M19" s="260">
        <v>330000</v>
      </c>
      <c r="N19" s="260">
        <v>2075000</v>
      </c>
      <c r="Q19" s="242"/>
    </row>
    <row r="20" spans="1:17" ht="16.5" thickTop="1" thickBot="1" x14ac:dyDescent="0.3">
      <c r="A20" s="242"/>
      <c r="B20" s="242"/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2"/>
    </row>
    <row r="21" spans="1:17" ht="15.75" thickBot="1" x14ac:dyDescent="0.3">
      <c r="A21" s="242"/>
      <c r="B21" s="242"/>
      <c r="C21" s="242"/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2"/>
    </row>
    <row r="23" spans="1:17" ht="23.25" x14ac:dyDescent="0.35">
      <c r="B23" s="131" t="s">
        <v>216</v>
      </c>
      <c r="C23" s="131"/>
      <c r="D23" s="131"/>
    </row>
    <row r="24" spans="1:17" x14ac:dyDescent="0.25">
      <c r="B24" s="174"/>
      <c r="C24" s="322" t="s">
        <v>170</v>
      </c>
      <c r="D24" s="323"/>
      <c r="E24" s="323"/>
      <c r="F24" s="323"/>
      <c r="G24" s="323"/>
      <c r="H24" s="323"/>
      <c r="I24" s="323"/>
      <c r="J24" s="323"/>
      <c r="K24" s="323"/>
      <c r="L24" s="323"/>
      <c r="M24" s="323"/>
      <c r="N24" s="323"/>
      <c r="O24" s="323"/>
      <c r="P24" s="175"/>
      <c r="Q24" s="179"/>
    </row>
    <row r="25" spans="1:17" ht="64.5" x14ac:dyDescent="0.25">
      <c r="B25" s="266"/>
      <c r="C25" s="150" t="s">
        <v>135</v>
      </c>
      <c r="D25" s="150" t="s">
        <v>227</v>
      </c>
      <c r="E25" s="274" t="s">
        <v>233</v>
      </c>
      <c r="F25" s="274" t="s">
        <v>234</v>
      </c>
      <c r="G25" s="274" t="s">
        <v>235</v>
      </c>
      <c r="H25" s="274" t="s">
        <v>236</v>
      </c>
      <c r="I25" s="274" t="s">
        <v>237</v>
      </c>
      <c r="J25" s="274" t="s">
        <v>198</v>
      </c>
      <c r="K25" s="274" t="s">
        <v>238</v>
      </c>
      <c r="L25" s="274" t="s">
        <v>239</v>
      </c>
      <c r="M25" s="274" t="s">
        <v>240</v>
      </c>
      <c r="N25" s="274" t="s">
        <v>241</v>
      </c>
      <c r="O25" s="274" t="s">
        <v>242</v>
      </c>
      <c r="P25" s="267" t="s">
        <v>218</v>
      </c>
      <c r="Q25" s="180" t="s">
        <v>147</v>
      </c>
    </row>
    <row r="26" spans="1:17" ht="15.75" thickBot="1" x14ac:dyDescent="0.3">
      <c r="B26" s="151" t="s">
        <v>31</v>
      </c>
      <c r="C26" s="268">
        <v>11000</v>
      </c>
      <c r="D26" s="268">
        <v>10000</v>
      </c>
      <c r="E26" s="269">
        <v>2145</v>
      </c>
      <c r="F26" s="270">
        <v>820</v>
      </c>
      <c r="G26" s="268">
        <v>4625</v>
      </c>
      <c r="H26" s="268">
        <v>2123</v>
      </c>
      <c r="I26" s="271"/>
      <c r="J26" s="271"/>
      <c r="K26" s="272">
        <v>6500</v>
      </c>
      <c r="L26" s="273">
        <v>311385</v>
      </c>
      <c r="M26" s="271"/>
      <c r="N26" s="273">
        <v>100000</v>
      </c>
      <c r="O26" s="263"/>
      <c r="P26" s="143">
        <v>10417</v>
      </c>
      <c r="Q26" s="156">
        <f t="shared" ref="Q26:Q37" si="0">SUM(C26:P26)</f>
        <v>459015</v>
      </c>
    </row>
    <row r="27" spans="1:17" ht="15.75" thickBot="1" x14ac:dyDescent="0.3">
      <c r="B27" s="151" t="s">
        <v>33</v>
      </c>
      <c r="C27" s="252">
        <v>11000</v>
      </c>
      <c r="D27" s="252">
        <v>18000</v>
      </c>
      <c r="E27" s="252">
        <v>2145</v>
      </c>
      <c r="F27" s="255">
        <v>520</v>
      </c>
      <c r="G27" s="261">
        <v>1625</v>
      </c>
      <c r="H27" s="261">
        <v>2123</v>
      </c>
      <c r="I27" s="252">
        <v>3000</v>
      </c>
      <c r="J27" s="251"/>
      <c r="K27" s="252">
        <v>6500</v>
      </c>
      <c r="L27" s="251"/>
      <c r="M27" s="253">
        <v>35000</v>
      </c>
      <c r="N27" s="253">
        <v>200000</v>
      </c>
      <c r="O27" s="263"/>
      <c r="P27" s="143">
        <v>10417</v>
      </c>
      <c r="Q27" s="146">
        <f t="shared" si="0"/>
        <v>290330</v>
      </c>
    </row>
    <row r="28" spans="1:17" ht="15.75" thickBot="1" x14ac:dyDescent="0.3">
      <c r="B28" s="151" t="s">
        <v>34</v>
      </c>
      <c r="C28" s="252">
        <v>11000</v>
      </c>
      <c r="D28" s="252">
        <v>25000</v>
      </c>
      <c r="E28" s="252">
        <v>2145</v>
      </c>
      <c r="F28" s="255">
        <v>520</v>
      </c>
      <c r="G28" s="252">
        <v>1625</v>
      </c>
      <c r="H28" s="252">
        <v>2123</v>
      </c>
      <c r="I28" s="252">
        <v>5000</v>
      </c>
      <c r="J28" s="251"/>
      <c r="K28" s="252">
        <v>6500</v>
      </c>
      <c r="L28" s="251"/>
      <c r="M28" s="251"/>
      <c r="N28" s="253">
        <v>30000</v>
      </c>
      <c r="O28" s="263"/>
      <c r="P28" s="143">
        <v>10417</v>
      </c>
      <c r="Q28" s="146">
        <f t="shared" si="0"/>
        <v>94330</v>
      </c>
    </row>
    <row r="29" spans="1:17" ht="15.75" thickBot="1" x14ac:dyDescent="0.3">
      <c r="B29" s="151" t="s">
        <v>35</v>
      </c>
      <c r="C29" s="252">
        <v>11000</v>
      </c>
      <c r="D29" s="252">
        <v>25000</v>
      </c>
      <c r="E29" s="252">
        <v>2145</v>
      </c>
      <c r="F29" s="255">
        <v>520</v>
      </c>
      <c r="G29" s="252">
        <v>1625</v>
      </c>
      <c r="H29" s="252">
        <v>2123</v>
      </c>
      <c r="I29" s="252">
        <v>5000</v>
      </c>
      <c r="J29" s="251"/>
      <c r="K29" s="252">
        <v>6500</v>
      </c>
      <c r="L29" s="253">
        <v>311385</v>
      </c>
      <c r="M29" s="251"/>
      <c r="N29" s="251"/>
      <c r="O29" s="264"/>
      <c r="P29" s="143">
        <v>10417</v>
      </c>
      <c r="Q29" s="146">
        <f t="shared" si="0"/>
        <v>375715</v>
      </c>
    </row>
    <row r="30" spans="1:17" ht="15.75" thickBot="1" x14ac:dyDescent="0.3">
      <c r="B30" s="151" t="s">
        <v>36</v>
      </c>
      <c r="C30" s="252">
        <v>11000</v>
      </c>
      <c r="D30" s="252">
        <v>25000</v>
      </c>
      <c r="E30" s="252">
        <v>2145</v>
      </c>
      <c r="F30" s="255">
        <v>520</v>
      </c>
      <c r="G30" s="252">
        <v>1625</v>
      </c>
      <c r="H30" s="252">
        <v>2123</v>
      </c>
      <c r="I30" s="251"/>
      <c r="J30" s="251"/>
      <c r="K30" s="252">
        <v>6500</v>
      </c>
      <c r="L30" s="251"/>
      <c r="M30" s="251"/>
      <c r="N30" s="251"/>
      <c r="O30" s="264"/>
      <c r="P30" s="143">
        <v>10417</v>
      </c>
      <c r="Q30" s="146">
        <f t="shared" si="0"/>
        <v>59330</v>
      </c>
    </row>
    <row r="31" spans="1:17" ht="15.75" thickBot="1" x14ac:dyDescent="0.3">
      <c r="B31" s="151" t="s">
        <v>37</v>
      </c>
      <c r="C31" s="252">
        <v>11000</v>
      </c>
      <c r="D31" s="252">
        <v>10000</v>
      </c>
      <c r="E31" s="252">
        <v>2145</v>
      </c>
      <c r="F31" s="255">
        <v>520</v>
      </c>
      <c r="G31" s="252">
        <v>1625</v>
      </c>
      <c r="H31" s="252">
        <v>2123</v>
      </c>
      <c r="I31" s="251"/>
      <c r="J31" s="252">
        <v>5200</v>
      </c>
      <c r="K31" s="252">
        <v>6500</v>
      </c>
      <c r="L31" s="251"/>
      <c r="M31" s="251"/>
      <c r="N31" s="251"/>
      <c r="O31" s="264"/>
      <c r="P31" s="143">
        <v>10417</v>
      </c>
      <c r="Q31" s="146">
        <f t="shared" si="0"/>
        <v>49530</v>
      </c>
    </row>
    <row r="32" spans="1:17" ht="15.75" thickBot="1" x14ac:dyDescent="0.3">
      <c r="B32" s="151" t="s">
        <v>38</v>
      </c>
      <c r="C32" s="252">
        <v>11000</v>
      </c>
      <c r="D32" s="252">
        <v>6000</v>
      </c>
      <c r="E32" s="252">
        <v>2145</v>
      </c>
      <c r="F32" s="255">
        <v>520</v>
      </c>
      <c r="G32" s="252">
        <v>1625</v>
      </c>
      <c r="H32" s="252">
        <v>2123</v>
      </c>
      <c r="I32" s="251"/>
      <c r="J32" s="251"/>
      <c r="K32" s="252">
        <v>6500</v>
      </c>
      <c r="L32" s="253">
        <v>311385</v>
      </c>
      <c r="M32" s="251"/>
      <c r="N32" s="251"/>
      <c r="O32" s="264"/>
      <c r="P32" s="143">
        <v>10417</v>
      </c>
      <c r="Q32" s="146">
        <f t="shared" si="0"/>
        <v>351715</v>
      </c>
    </row>
    <row r="33" spans="2:17" ht="15.75" thickBot="1" x14ac:dyDescent="0.3">
      <c r="B33" s="151" t="s">
        <v>39</v>
      </c>
      <c r="C33" s="252">
        <v>11000</v>
      </c>
      <c r="D33" s="252">
        <v>5000</v>
      </c>
      <c r="E33" s="252">
        <v>2145</v>
      </c>
      <c r="F33" s="255">
        <v>520</v>
      </c>
      <c r="G33" s="252">
        <v>1625</v>
      </c>
      <c r="H33" s="252">
        <v>2123</v>
      </c>
      <c r="I33" s="251"/>
      <c r="J33" s="251"/>
      <c r="K33" s="252">
        <v>6500</v>
      </c>
      <c r="L33" s="251"/>
      <c r="M33" s="251"/>
      <c r="N33" s="251"/>
      <c r="O33" s="264"/>
      <c r="P33" s="143">
        <v>10417</v>
      </c>
      <c r="Q33" s="146">
        <f t="shared" si="0"/>
        <v>39330</v>
      </c>
    </row>
    <row r="34" spans="2:17" ht="15.75" thickBot="1" x14ac:dyDescent="0.3">
      <c r="B34" s="151" t="s">
        <v>40</v>
      </c>
      <c r="C34" s="252">
        <v>11000</v>
      </c>
      <c r="D34" s="252">
        <v>8000</v>
      </c>
      <c r="E34" s="252">
        <v>2145</v>
      </c>
      <c r="F34" s="255">
        <v>520</v>
      </c>
      <c r="G34" s="252">
        <v>1625</v>
      </c>
      <c r="H34" s="252">
        <v>2123</v>
      </c>
      <c r="I34" s="251"/>
      <c r="J34" s="251"/>
      <c r="K34" s="252">
        <v>6500</v>
      </c>
      <c r="L34" s="251"/>
      <c r="M34" s="251"/>
      <c r="N34" s="251"/>
      <c r="O34" s="264"/>
      <c r="P34" s="143">
        <v>10416</v>
      </c>
      <c r="Q34" s="146">
        <f t="shared" si="0"/>
        <v>42329</v>
      </c>
    </row>
    <row r="35" spans="2:17" ht="15.75" thickBot="1" x14ac:dyDescent="0.3">
      <c r="B35" s="151" t="s">
        <v>41</v>
      </c>
      <c r="C35" s="252">
        <v>11000</v>
      </c>
      <c r="D35" s="252">
        <v>8000</v>
      </c>
      <c r="E35" s="252">
        <v>2145</v>
      </c>
      <c r="F35" s="255">
        <v>520</v>
      </c>
      <c r="G35" s="252">
        <v>1625</v>
      </c>
      <c r="H35" s="252">
        <v>2123</v>
      </c>
      <c r="I35" s="251"/>
      <c r="J35" s="251"/>
      <c r="K35" s="252">
        <v>6500</v>
      </c>
      <c r="L35" s="253">
        <v>311385</v>
      </c>
      <c r="M35" s="251"/>
      <c r="N35" s="251"/>
      <c r="O35" s="264"/>
      <c r="P35" s="143">
        <v>10416</v>
      </c>
      <c r="Q35" s="146">
        <f t="shared" si="0"/>
        <v>353714</v>
      </c>
    </row>
    <row r="36" spans="2:17" ht="15.75" thickBot="1" x14ac:dyDescent="0.3">
      <c r="B36" s="151" t="s">
        <v>42</v>
      </c>
      <c r="C36" s="252">
        <v>11000</v>
      </c>
      <c r="D36" s="252">
        <v>8000</v>
      </c>
      <c r="E36" s="252">
        <v>2145</v>
      </c>
      <c r="F36" s="255">
        <v>520</v>
      </c>
      <c r="G36" s="252">
        <v>1625</v>
      </c>
      <c r="H36" s="252">
        <v>2123</v>
      </c>
      <c r="I36" s="251"/>
      <c r="J36" s="251"/>
      <c r="K36" s="252">
        <v>6500</v>
      </c>
      <c r="L36" s="251"/>
      <c r="M36" s="251"/>
      <c r="N36" s="251"/>
      <c r="O36" s="264"/>
      <c r="P36" s="143">
        <v>10416</v>
      </c>
      <c r="Q36" s="146">
        <f t="shared" si="0"/>
        <v>42329</v>
      </c>
    </row>
    <row r="37" spans="2:17" ht="15.75" thickBot="1" x14ac:dyDescent="0.3">
      <c r="B37" s="165" t="s">
        <v>43</v>
      </c>
      <c r="C37" s="257">
        <v>11000</v>
      </c>
      <c r="D37" s="257">
        <v>8000</v>
      </c>
      <c r="E37" s="257">
        <v>2145</v>
      </c>
      <c r="F37" s="258">
        <v>520</v>
      </c>
      <c r="G37" s="257">
        <v>1625</v>
      </c>
      <c r="H37" s="257">
        <v>2127</v>
      </c>
      <c r="I37" s="246"/>
      <c r="J37" s="246"/>
      <c r="K37" s="257">
        <v>6500</v>
      </c>
      <c r="L37" s="246"/>
      <c r="M37" s="246"/>
      <c r="N37" s="246"/>
      <c r="O37" s="264"/>
      <c r="P37" s="143">
        <v>10416</v>
      </c>
      <c r="Q37" s="146">
        <f t="shared" si="0"/>
        <v>42333</v>
      </c>
    </row>
    <row r="38" spans="2:17" x14ac:dyDescent="0.25">
      <c r="B38" s="163" t="s">
        <v>152</v>
      </c>
      <c r="C38" s="148">
        <f t="shared" ref="C38:L38" si="1">SUM(C26:C37)</f>
        <v>132000</v>
      </c>
      <c r="D38" s="148">
        <f t="shared" si="1"/>
        <v>156000</v>
      </c>
      <c r="E38" s="148">
        <f t="shared" si="1"/>
        <v>25740</v>
      </c>
      <c r="F38" s="148">
        <f t="shared" si="1"/>
        <v>6540</v>
      </c>
      <c r="G38" s="148">
        <f t="shared" si="1"/>
        <v>22500</v>
      </c>
      <c r="H38" s="148">
        <f t="shared" si="1"/>
        <v>25480</v>
      </c>
      <c r="I38" s="148">
        <f t="shared" si="1"/>
        <v>13000</v>
      </c>
      <c r="J38" s="148">
        <f t="shared" si="1"/>
        <v>5200</v>
      </c>
      <c r="K38" s="148">
        <f t="shared" si="1"/>
        <v>78000</v>
      </c>
      <c r="L38" s="148">
        <f t="shared" si="1"/>
        <v>1245540</v>
      </c>
      <c r="M38" s="265">
        <f>SUM(M26:M37)</f>
        <v>35000</v>
      </c>
      <c r="N38" s="204">
        <f>SUM(N26:N37)</f>
        <v>330000</v>
      </c>
      <c r="O38" s="204">
        <f>SUM(C38:N38)</f>
        <v>2075000</v>
      </c>
      <c r="P38" s="148">
        <f>SUM(P26:P37)</f>
        <v>125000</v>
      </c>
      <c r="Q38" s="178">
        <f>SUM(Q26:Q37)</f>
        <v>2200000</v>
      </c>
    </row>
  </sheetData>
  <mergeCells count="1">
    <mergeCell ref="C24:O24"/>
  </mergeCells>
  <conditionalFormatting sqref="N38:Q38 P25:Q3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{0751D4AF-C413-4F88-A77E-6CA6074B7A0E}</x14:id>
        </ext>
      </extLst>
    </cfRule>
  </conditionalFormatting>
  <pageMargins left="0.7" right="0.7" top="0.75" bottom="0.75" header="0.3" footer="0.3"/>
  <pageSetup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751D4AF-C413-4F88-A77E-6CA6074B7A0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N38:Q38 P25:Q37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E67"/>
  <sheetViews>
    <sheetView topLeftCell="A49" workbookViewId="0">
      <selection activeCell="F30" sqref="F30"/>
    </sheetView>
  </sheetViews>
  <sheetFormatPr defaultRowHeight="15" x14ac:dyDescent="0.25"/>
  <cols>
    <col min="1" max="1" width="9.140625" style="5"/>
    <col min="2" max="2" width="6.42578125" customWidth="1"/>
    <col min="3" max="3" width="17.28515625" customWidth="1"/>
    <col min="4" max="4" width="27" customWidth="1"/>
  </cols>
  <sheetData>
    <row r="1" spans="1:4" ht="15.75" x14ac:dyDescent="0.25">
      <c r="A1" s="54" t="s">
        <v>60</v>
      </c>
    </row>
    <row r="2" spans="1:4" ht="15.75" x14ac:dyDescent="0.25">
      <c r="A2" s="54" t="s">
        <v>61</v>
      </c>
    </row>
    <row r="3" spans="1:4" ht="15.75" x14ac:dyDescent="0.25">
      <c r="A3" s="54" t="s">
        <v>51</v>
      </c>
    </row>
    <row r="6" spans="1:4" x14ac:dyDescent="0.25">
      <c r="A6" s="5">
        <v>1</v>
      </c>
      <c r="B6" t="s">
        <v>62</v>
      </c>
    </row>
    <row r="7" spans="1:4" x14ac:dyDescent="0.25">
      <c r="C7" t="s">
        <v>63</v>
      </c>
    </row>
    <row r="8" spans="1:4" ht="6" customHeight="1" x14ac:dyDescent="0.25"/>
    <row r="9" spans="1:4" x14ac:dyDescent="0.25">
      <c r="C9" s="52" t="s">
        <v>64</v>
      </c>
      <c r="D9" s="52" t="s">
        <v>65</v>
      </c>
    </row>
    <row r="10" spans="1:4" x14ac:dyDescent="0.25">
      <c r="C10" t="s">
        <v>31</v>
      </c>
      <c r="D10" s="53">
        <v>40770</v>
      </c>
    </row>
    <row r="11" spans="1:4" x14ac:dyDescent="0.25">
      <c r="C11" t="s">
        <v>33</v>
      </c>
      <c r="D11" s="53">
        <v>40805</v>
      </c>
    </row>
    <row r="12" spans="1:4" x14ac:dyDescent="0.25">
      <c r="C12" t="s">
        <v>34</v>
      </c>
      <c r="D12" s="53">
        <v>40833</v>
      </c>
    </row>
    <row r="13" spans="1:4" x14ac:dyDescent="0.25">
      <c r="C13" t="s">
        <v>35</v>
      </c>
      <c r="D13" s="53">
        <v>40861</v>
      </c>
    </row>
    <row r="14" spans="1:4" x14ac:dyDescent="0.25">
      <c r="C14" t="s">
        <v>36</v>
      </c>
      <c r="D14" s="53">
        <v>40889</v>
      </c>
    </row>
    <row r="15" spans="1:4" x14ac:dyDescent="0.25">
      <c r="C15" t="s">
        <v>37</v>
      </c>
      <c r="D15" s="53">
        <v>40559</v>
      </c>
    </row>
    <row r="16" spans="1:4" x14ac:dyDescent="0.25">
      <c r="C16" t="s">
        <v>38</v>
      </c>
      <c r="D16" s="53">
        <v>40587</v>
      </c>
    </row>
    <row r="17" spans="1:5" x14ac:dyDescent="0.25">
      <c r="C17" t="s">
        <v>39</v>
      </c>
      <c r="D17" s="53">
        <v>40621</v>
      </c>
    </row>
    <row r="18" spans="1:5" ht="14.25" customHeight="1" x14ac:dyDescent="0.25">
      <c r="C18" t="s">
        <v>40</v>
      </c>
      <c r="D18" s="53">
        <v>40649</v>
      </c>
    </row>
    <row r="19" spans="1:5" x14ac:dyDescent="0.25">
      <c r="C19" t="s">
        <v>41</v>
      </c>
      <c r="D19" s="53">
        <v>40677</v>
      </c>
    </row>
    <row r="20" spans="1:5" x14ac:dyDescent="0.25">
      <c r="C20" t="s">
        <v>42</v>
      </c>
      <c r="D20" s="53">
        <v>40712</v>
      </c>
    </row>
    <row r="21" spans="1:5" x14ac:dyDescent="0.25">
      <c r="C21" t="s">
        <v>43</v>
      </c>
      <c r="D21" s="53">
        <v>40740</v>
      </c>
    </row>
    <row r="22" spans="1:5" ht="10.5" customHeight="1" x14ac:dyDescent="0.25"/>
    <row r="23" spans="1:5" x14ac:dyDescent="0.25">
      <c r="A23" s="5">
        <v>2</v>
      </c>
      <c r="B23" t="s">
        <v>96</v>
      </c>
    </row>
    <row r="24" spans="1:5" x14ac:dyDescent="0.25">
      <c r="B24" s="57" t="s">
        <v>68</v>
      </c>
      <c r="C24" t="s">
        <v>66</v>
      </c>
    </row>
    <row r="25" spans="1:5" x14ac:dyDescent="0.25">
      <c r="B25" s="57" t="s">
        <v>69</v>
      </c>
      <c r="C25" t="s">
        <v>67</v>
      </c>
    </row>
    <row r="26" spans="1:5" x14ac:dyDescent="0.25">
      <c r="B26" s="57" t="s">
        <v>70</v>
      </c>
      <c r="C26" t="s">
        <v>79</v>
      </c>
    </row>
    <row r="27" spans="1:5" x14ac:dyDescent="0.25">
      <c r="B27" s="57"/>
      <c r="C27" s="24" t="s">
        <v>76</v>
      </c>
      <c r="D27" s="55" t="s">
        <v>77</v>
      </c>
    </row>
    <row r="28" spans="1:5" x14ac:dyDescent="0.25">
      <c r="B28" s="57"/>
      <c r="C28" s="24" t="s">
        <v>71</v>
      </c>
      <c r="D28" s="55" t="s">
        <v>72</v>
      </c>
    </row>
    <row r="29" spans="1:5" x14ac:dyDescent="0.25">
      <c r="B29" s="57"/>
      <c r="C29" s="24" t="s">
        <v>73</v>
      </c>
      <c r="D29" s="55">
        <v>2012</v>
      </c>
    </row>
    <row r="30" spans="1:5" x14ac:dyDescent="0.25">
      <c r="B30" s="57"/>
      <c r="C30" s="24" t="s">
        <v>1</v>
      </c>
      <c r="D30" s="55" t="s">
        <v>74</v>
      </c>
      <c r="E30" t="s">
        <v>75</v>
      </c>
    </row>
    <row r="31" spans="1:5" x14ac:dyDescent="0.25">
      <c r="B31" s="57"/>
      <c r="C31" s="56" t="s">
        <v>78</v>
      </c>
      <c r="D31" s="24"/>
    </row>
    <row r="32" spans="1:5" ht="4.5" customHeight="1" x14ac:dyDescent="0.25">
      <c r="B32" s="57"/>
    </row>
    <row r="33" spans="1:4" x14ac:dyDescent="0.25">
      <c r="B33" s="57" t="s">
        <v>80</v>
      </c>
      <c r="C33" t="s">
        <v>83</v>
      </c>
    </row>
    <row r="34" spans="1:4" x14ac:dyDescent="0.25">
      <c r="B34" s="57" t="s">
        <v>81</v>
      </c>
      <c r="C34" t="s">
        <v>82</v>
      </c>
    </row>
    <row r="35" spans="1:4" x14ac:dyDescent="0.25">
      <c r="B35" s="57" t="s">
        <v>84</v>
      </c>
      <c r="C35" t="s">
        <v>85</v>
      </c>
    </row>
    <row r="36" spans="1:4" x14ac:dyDescent="0.25">
      <c r="C36" t="s">
        <v>86</v>
      </c>
    </row>
    <row r="38" spans="1:4" x14ac:dyDescent="0.25">
      <c r="A38" s="5">
        <v>3</v>
      </c>
      <c r="B38" t="s">
        <v>95</v>
      </c>
    </row>
    <row r="39" spans="1:4" x14ac:dyDescent="0.25">
      <c r="B39" s="57" t="s">
        <v>68</v>
      </c>
      <c r="C39" t="s">
        <v>66</v>
      </c>
    </row>
    <row r="40" spans="1:4" x14ac:dyDescent="0.25">
      <c r="B40" s="57" t="s">
        <v>69</v>
      </c>
      <c r="C40" t="s">
        <v>87</v>
      </c>
    </row>
    <row r="41" spans="1:4" x14ac:dyDescent="0.25">
      <c r="B41" s="57" t="s">
        <v>70</v>
      </c>
      <c r="C41" t="s">
        <v>79</v>
      </c>
    </row>
    <row r="42" spans="1:4" x14ac:dyDescent="0.25">
      <c r="B42" s="57"/>
      <c r="C42" s="24" t="s">
        <v>76</v>
      </c>
      <c r="D42" s="55" t="s">
        <v>77</v>
      </c>
    </row>
    <row r="43" spans="1:4" x14ac:dyDescent="0.25">
      <c r="B43" s="57"/>
      <c r="C43" s="24" t="s">
        <v>71</v>
      </c>
      <c r="D43" s="55" t="s">
        <v>72</v>
      </c>
    </row>
    <row r="44" spans="1:4" x14ac:dyDescent="0.25">
      <c r="B44" s="57"/>
      <c r="C44" s="24" t="s">
        <v>73</v>
      </c>
      <c r="D44" s="55">
        <v>2012</v>
      </c>
    </row>
    <row r="45" spans="1:4" x14ac:dyDescent="0.25">
      <c r="B45" s="57"/>
      <c r="C45" s="24" t="s">
        <v>1</v>
      </c>
      <c r="D45" s="55" t="s">
        <v>74</v>
      </c>
    </row>
    <row r="46" spans="1:4" x14ac:dyDescent="0.25">
      <c r="B46" s="57"/>
      <c r="C46" s="56" t="s">
        <v>78</v>
      </c>
      <c r="D46" s="24"/>
    </row>
    <row r="47" spans="1:4" ht="6.75" customHeight="1" x14ac:dyDescent="0.25">
      <c r="B47" s="57"/>
      <c r="C47" s="56"/>
      <c r="D47" s="24"/>
    </row>
    <row r="48" spans="1:4" x14ac:dyDescent="0.25">
      <c r="B48" s="57" t="s">
        <v>80</v>
      </c>
      <c r="C48" t="s">
        <v>88</v>
      </c>
    </row>
    <row r="49" spans="1:3" x14ac:dyDescent="0.25">
      <c r="B49" s="57" t="s">
        <v>81</v>
      </c>
      <c r="C49" t="s">
        <v>90</v>
      </c>
    </row>
    <row r="50" spans="1:3" x14ac:dyDescent="0.25">
      <c r="B50" s="57" t="s">
        <v>84</v>
      </c>
      <c r="C50" t="s">
        <v>89</v>
      </c>
    </row>
    <row r="51" spans="1:3" x14ac:dyDescent="0.25">
      <c r="C51" t="s">
        <v>86</v>
      </c>
    </row>
    <row r="52" spans="1:3" x14ac:dyDescent="0.25">
      <c r="A52" s="5">
        <v>4</v>
      </c>
      <c r="B52" s="58" t="s">
        <v>91</v>
      </c>
    </row>
    <row r="53" spans="1:3" x14ac:dyDescent="0.25">
      <c r="A53" s="5">
        <v>5</v>
      </c>
      <c r="B53" t="s">
        <v>92</v>
      </c>
    </row>
    <row r="54" spans="1:3" x14ac:dyDescent="0.25">
      <c r="A54" s="5">
        <v>6</v>
      </c>
      <c r="B54" t="s">
        <v>103</v>
      </c>
    </row>
    <row r="55" spans="1:3" x14ac:dyDescent="0.25">
      <c r="B55" t="s">
        <v>104</v>
      </c>
    </row>
    <row r="57" spans="1:3" x14ac:dyDescent="0.25">
      <c r="A57" s="5">
        <v>7</v>
      </c>
      <c r="B57" t="s">
        <v>99</v>
      </c>
    </row>
    <row r="58" spans="1:3" x14ac:dyDescent="0.25">
      <c r="B58" s="57" t="s">
        <v>97</v>
      </c>
      <c r="C58" t="s">
        <v>93</v>
      </c>
    </row>
    <row r="59" spans="1:3" x14ac:dyDescent="0.25">
      <c r="B59" s="57" t="s">
        <v>98</v>
      </c>
      <c r="C59" t="s">
        <v>94</v>
      </c>
    </row>
    <row r="61" spans="1:3" x14ac:dyDescent="0.25">
      <c r="A61" s="5">
        <v>8</v>
      </c>
      <c r="B61" t="s">
        <v>100</v>
      </c>
    </row>
    <row r="62" spans="1:3" x14ac:dyDescent="0.25">
      <c r="B62" s="57" t="s">
        <v>68</v>
      </c>
      <c r="C62" t="s">
        <v>101</v>
      </c>
    </row>
    <row r="63" spans="1:3" x14ac:dyDescent="0.25">
      <c r="B63" s="57" t="s">
        <v>69</v>
      </c>
      <c r="C63" t="s">
        <v>102</v>
      </c>
    </row>
    <row r="64" spans="1:3" x14ac:dyDescent="0.25">
      <c r="B64" s="57"/>
    </row>
    <row r="65" spans="1:2" x14ac:dyDescent="0.25">
      <c r="A65" s="5">
        <v>9</v>
      </c>
      <c r="B65" s="58" t="s">
        <v>105</v>
      </c>
    </row>
    <row r="66" spans="1:2" x14ac:dyDescent="0.25">
      <c r="B66" t="s">
        <v>107</v>
      </c>
    </row>
    <row r="67" spans="1:2" x14ac:dyDescent="0.25">
      <c r="B67" s="58" t="s">
        <v>106</v>
      </c>
    </row>
  </sheetData>
  <pageMargins left="0.7" right="0.7" top="0.75" bottom="0.75" header="0.3" footer="0.3"/>
  <pageSetup scale="80" fitToHeight="10" orientation="landscape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86"/>
  <sheetViews>
    <sheetView topLeftCell="A58" workbookViewId="0">
      <selection activeCell="E74" sqref="E74"/>
    </sheetView>
  </sheetViews>
  <sheetFormatPr defaultRowHeight="15" x14ac:dyDescent="0.25"/>
  <cols>
    <col min="1" max="1" width="5" customWidth="1"/>
    <col min="2" max="2" width="5.42578125" bestFit="1" customWidth="1"/>
    <col min="3" max="3" width="16.28515625" customWidth="1"/>
    <col min="4" max="4" width="19" customWidth="1"/>
    <col min="5" max="5" width="20" customWidth="1"/>
    <col min="6" max="6" width="18" customWidth="1"/>
    <col min="7" max="9" width="15.140625" bestFit="1" customWidth="1"/>
    <col min="10" max="10" width="21.5703125" customWidth="1"/>
    <col min="11" max="15" width="15.140625" bestFit="1" customWidth="1"/>
    <col min="16" max="16" width="14.28515625" bestFit="1" customWidth="1"/>
  </cols>
  <sheetData>
    <row r="1" spans="1:16" ht="21" x14ac:dyDescent="0.35">
      <c r="A1" s="291" t="s">
        <v>48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</row>
    <row r="2" spans="1:16" ht="21" x14ac:dyDescent="0.35">
      <c r="A2" s="291" t="s">
        <v>49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</row>
    <row r="3" spans="1:16" ht="21" x14ac:dyDescent="0.35">
      <c r="A3" s="291" t="s">
        <v>50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</row>
    <row r="4" spans="1:16" ht="21" x14ac:dyDescent="0.35">
      <c r="A4" s="291" t="s">
        <v>125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</row>
    <row r="7" spans="1:16" ht="33.75" x14ac:dyDescent="0.5">
      <c r="B7" t="s">
        <v>116</v>
      </c>
      <c r="C7" s="65" t="s">
        <v>115</v>
      </c>
      <c r="D7" s="66"/>
      <c r="E7" t="s">
        <v>117</v>
      </c>
    </row>
    <row r="9" spans="1:16" ht="15.75" thickBot="1" x14ac:dyDescent="0.3">
      <c r="A9" s="5" t="s">
        <v>17</v>
      </c>
    </row>
    <row r="10" spans="1:16" x14ac:dyDescent="0.25">
      <c r="A10" s="6"/>
      <c r="B10" s="7"/>
      <c r="C10" s="8" t="s">
        <v>1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220"/>
    </row>
    <row r="11" spans="1:16" x14ac:dyDescent="0.25">
      <c r="A11" s="10"/>
      <c r="B11" s="4"/>
      <c r="C11" s="2" t="s">
        <v>2</v>
      </c>
      <c r="D11" s="2" t="s">
        <v>3</v>
      </c>
      <c r="E11" s="2" t="s">
        <v>4</v>
      </c>
      <c r="F11" s="2" t="s">
        <v>5</v>
      </c>
      <c r="G11" s="2" t="s">
        <v>6</v>
      </c>
      <c r="H11" s="2" t="s">
        <v>7</v>
      </c>
      <c r="I11" s="2" t="s">
        <v>8</v>
      </c>
      <c r="J11" s="2" t="s">
        <v>9</v>
      </c>
      <c r="K11" s="2" t="s">
        <v>10</v>
      </c>
      <c r="L11" s="2" t="s">
        <v>11</v>
      </c>
      <c r="M11" s="2" t="s">
        <v>12</v>
      </c>
      <c r="N11" s="2" t="s">
        <v>13</v>
      </c>
      <c r="O11" s="2" t="s">
        <v>14</v>
      </c>
      <c r="P11" s="221"/>
    </row>
    <row r="12" spans="1:16" ht="15.75" thickBot="1" x14ac:dyDescent="0.3">
      <c r="A12" s="10"/>
      <c r="B12" s="1" t="s">
        <v>0</v>
      </c>
      <c r="C12" s="32" t="s">
        <v>31</v>
      </c>
      <c r="D12" s="32" t="s">
        <v>33</v>
      </c>
      <c r="E12" s="32" t="s">
        <v>34</v>
      </c>
      <c r="F12" s="32" t="s">
        <v>35</v>
      </c>
      <c r="G12" s="32" t="s">
        <v>36</v>
      </c>
      <c r="H12" s="32" t="s">
        <v>37</v>
      </c>
      <c r="I12" s="32" t="s">
        <v>38</v>
      </c>
      <c r="J12" s="32" t="s">
        <v>39</v>
      </c>
      <c r="K12" s="32" t="s">
        <v>40</v>
      </c>
      <c r="L12" s="32" t="s">
        <v>41</v>
      </c>
      <c r="M12" s="32" t="s">
        <v>44</v>
      </c>
      <c r="N12" s="32" t="s">
        <v>43</v>
      </c>
      <c r="O12" s="32" t="s">
        <v>45</v>
      </c>
      <c r="P12" s="225" t="s">
        <v>219</v>
      </c>
    </row>
    <row r="13" spans="1:16" x14ac:dyDescent="0.25">
      <c r="A13" s="10">
        <v>2021</v>
      </c>
      <c r="B13" s="2">
        <v>4280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221"/>
    </row>
    <row r="14" spans="1:16" x14ac:dyDescent="0.25">
      <c r="A14" s="10">
        <v>2020</v>
      </c>
      <c r="B14" s="2">
        <v>4280</v>
      </c>
      <c r="C14" s="226">
        <v>295086</v>
      </c>
      <c r="D14" s="226">
        <v>227043</v>
      </c>
      <c r="E14" s="226">
        <v>203180.5</v>
      </c>
      <c r="F14" s="226">
        <v>118562.5</v>
      </c>
      <c r="G14" s="226">
        <v>98027.5</v>
      </c>
      <c r="H14" s="226">
        <v>306944.75</v>
      </c>
      <c r="I14" s="226">
        <v>25398.5</v>
      </c>
      <c r="J14" s="226">
        <v>15436</v>
      </c>
      <c r="K14" s="226">
        <v>183846</v>
      </c>
      <c r="L14" s="226">
        <v>503787</v>
      </c>
      <c r="M14" s="226">
        <v>287896.5</v>
      </c>
      <c r="N14" s="226">
        <v>518770.06</v>
      </c>
      <c r="O14" s="76"/>
      <c r="P14" s="227">
        <f>SUM(C14:N14)</f>
        <v>2783978.31</v>
      </c>
    </row>
    <row r="15" spans="1:16" x14ac:dyDescent="0.25">
      <c r="A15" s="10">
        <v>2019</v>
      </c>
      <c r="B15" s="2">
        <v>4280</v>
      </c>
      <c r="C15" s="63">
        <v>-130974</v>
      </c>
      <c r="D15" s="63">
        <v>-54504</v>
      </c>
      <c r="E15" s="63">
        <v>-79470</v>
      </c>
      <c r="F15" s="63">
        <v>-59420</v>
      </c>
      <c r="G15" s="63">
        <v>-33232</v>
      </c>
      <c r="H15" s="63">
        <v>-165019</v>
      </c>
      <c r="I15" s="63">
        <v>-12744</v>
      </c>
      <c r="J15" s="63">
        <v>-6404</v>
      </c>
      <c r="K15" s="63">
        <v>-111332</v>
      </c>
      <c r="L15" s="77">
        <v>-575524</v>
      </c>
      <c r="M15" s="77">
        <v>-183695</v>
      </c>
      <c r="N15" s="77">
        <v>-395998</v>
      </c>
      <c r="O15" s="76"/>
      <c r="P15" s="222">
        <f>SUM(C15:N15)</f>
        <v>-1808316</v>
      </c>
    </row>
    <row r="16" spans="1:16" x14ac:dyDescent="0.25">
      <c r="A16" s="10">
        <v>2018</v>
      </c>
      <c r="B16" s="2">
        <v>4280</v>
      </c>
      <c r="C16" s="63">
        <v>-125665</v>
      </c>
      <c r="D16" s="63">
        <v>-92129</v>
      </c>
      <c r="E16" s="63">
        <v>-85355</v>
      </c>
      <c r="F16" s="63">
        <v>-42294</v>
      </c>
      <c r="G16" s="63">
        <v>-54991</v>
      </c>
      <c r="H16" s="63">
        <v>-10963</v>
      </c>
      <c r="I16" s="63">
        <v>-162762</v>
      </c>
      <c r="J16" s="63">
        <v>-3368</v>
      </c>
      <c r="K16" s="63">
        <v>-4888</v>
      </c>
      <c r="L16" s="77">
        <v>-8906</v>
      </c>
      <c r="M16" s="77">
        <v>-174506</v>
      </c>
      <c r="N16" s="77">
        <v>-193568</v>
      </c>
      <c r="O16" s="77">
        <v>-45951</v>
      </c>
      <c r="P16" s="223">
        <f>SUM(C16:O16)</f>
        <v>-1005346</v>
      </c>
    </row>
    <row r="17" spans="1:16" x14ac:dyDescent="0.25">
      <c r="A17" s="10">
        <v>2017</v>
      </c>
      <c r="B17" s="2">
        <v>4280</v>
      </c>
      <c r="C17" s="63">
        <v>-125292</v>
      </c>
      <c r="D17" s="63">
        <v>-111182</v>
      </c>
      <c r="E17" s="63">
        <v>-72696</v>
      </c>
      <c r="F17" s="63">
        <v>-64578</v>
      </c>
      <c r="G17" s="63">
        <v>-35375</v>
      </c>
      <c r="H17" s="63">
        <v>-164294</v>
      </c>
      <c r="I17" s="63">
        <v>-10781</v>
      </c>
      <c r="J17" s="63">
        <v>-6793</v>
      </c>
      <c r="K17" s="63">
        <v>-23154</v>
      </c>
      <c r="L17" s="77">
        <v>-138762</v>
      </c>
      <c r="M17" s="77">
        <v>-90401</v>
      </c>
      <c r="N17" s="77">
        <v>-170845</v>
      </c>
      <c r="O17" s="76"/>
      <c r="P17" s="222">
        <f>SUM(C17:N17)</f>
        <v>-1014153</v>
      </c>
    </row>
    <row r="18" spans="1:16" x14ac:dyDescent="0.25">
      <c r="A18" s="10">
        <v>2016</v>
      </c>
      <c r="B18" s="2">
        <v>4280</v>
      </c>
      <c r="C18" s="63">
        <v>-151251</v>
      </c>
      <c r="D18" s="63">
        <v>-74769</v>
      </c>
      <c r="E18" s="63">
        <v>-84104</v>
      </c>
      <c r="F18" s="63">
        <v>-58414</v>
      </c>
      <c r="G18" s="63">
        <v>-35772</v>
      </c>
      <c r="H18" s="63">
        <v>-158506</v>
      </c>
      <c r="I18" s="63">
        <v>-8726</v>
      </c>
      <c r="J18" s="63">
        <v>-5301</v>
      </c>
      <c r="K18" s="63">
        <v>-21939</v>
      </c>
      <c r="L18" s="77">
        <v>-124177</v>
      </c>
      <c r="M18" s="77">
        <v>-70284</v>
      </c>
      <c r="N18" s="77">
        <v>-188913</v>
      </c>
      <c r="O18" s="76"/>
      <c r="P18" s="223">
        <f t="shared" ref="P18:P25" si="0">SUM(C18:O18)</f>
        <v>-982156</v>
      </c>
    </row>
    <row r="19" spans="1:16" x14ac:dyDescent="0.25">
      <c r="A19" s="10">
        <v>2015</v>
      </c>
      <c r="B19" s="2">
        <v>4280</v>
      </c>
      <c r="C19" s="63">
        <v>-64214</v>
      </c>
      <c r="D19" s="63">
        <v>-155917</v>
      </c>
      <c r="E19" s="63">
        <v>-76006</v>
      </c>
      <c r="F19" s="63">
        <v>-60859</v>
      </c>
      <c r="G19" s="63">
        <v>-26057</v>
      </c>
      <c r="H19" s="63">
        <v>-10366</v>
      </c>
      <c r="I19" s="63">
        <v>-153771</v>
      </c>
      <c r="J19" s="63">
        <v>-6262</v>
      </c>
      <c r="K19" s="63">
        <v>-30174</v>
      </c>
      <c r="L19" s="63">
        <v>-130150</v>
      </c>
      <c r="M19" s="63">
        <v>-46620</v>
      </c>
      <c r="N19" s="63">
        <v>-170412</v>
      </c>
      <c r="O19" s="76"/>
      <c r="P19" s="223">
        <f t="shared" si="0"/>
        <v>-930808</v>
      </c>
    </row>
    <row r="20" spans="1:16" x14ac:dyDescent="0.25">
      <c r="A20" s="10">
        <v>2014</v>
      </c>
      <c r="B20" s="2">
        <v>428</v>
      </c>
      <c r="C20" s="70">
        <v>-89595.25</v>
      </c>
      <c r="D20" s="70">
        <v>-115744.25</v>
      </c>
      <c r="E20" s="70">
        <v>-70190</v>
      </c>
      <c r="F20" s="70">
        <v>-48760.25</v>
      </c>
      <c r="G20" s="70">
        <v>-31983.5</v>
      </c>
      <c r="H20" s="70">
        <v>-154748.75</v>
      </c>
      <c r="I20" s="70">
        <v>-9383.25</v>
      </c>
      <c r="J20" s="70">
        <v>-3902.25</v>
      </c>
      <c r="K20" s="70">
        <v>-29732.5</v>
      </c>
      <c r="L20" s="70">
        <v>-108866.25</v>
      </c>
      <c r="M20" s="70">
        <v>-69811</v>
      </c>
      <c r="N20" s="70">
        <v>-161898.9</v>
      </c>
      <c r="O20" s="218"/>
      <c r="P20" s="223">
        <f t="shared" si="0"/>
        <v>-894616.15</v>
      </c>
    </row>
    <row r="21" spans="1:16" x14ac:dyDescent="0.25">
      <c r="A21" s="10">
        <v>2013</v>
      </c>
      <c r="B21" s="68">
        <v>428</v>
      </c>
      <c r="C21" s="64">
        <v>-102597</v>
      </c>
      <c r="D21" s="64">
        <v>-88305</v>
      </c>
      <c r="E21" s="64">
        <v>-64365</v>
      </c>
      <c r="F21" s="64">
        <v>-55321</v>
      </c>
      <c r="G21" s="64">
        <v>-29972</v>
      </c>
      <c r="H21" s="64">
        <v>-151574</v>
      </c>
      <c r="I21" s="64">
        <v>-7344.5</v>
      </c>
      <c r="J21" s="64">
        <v>-3596.5</v>
      </c>
      <c r="K21" s="70">
        <v>-24068</v>
      </c>
      <c r="L21" s="70">
        <v>-120792.75</v>
      </c>
      <c r="M21" s="70">
        <v>-92652.5</v>
      </c>
      <c r="N21" s="70">
        <v>-123996.01</v>
      </c>
      <c r="O21" s="70">
        <v>-3.95</v>
      </c>
      <c r="P21" s="223">
        <f t="shared" si="0"/>
        <v>-864588.21</v>
      </c>
    </row>
    <row r="22" spans="1:16" x14ac:dyDescent="0.25">
      <c r="A22" s="10">
        <v>2012</v>
      </c>
      <c r="B22" s="12">
        <v>428</v>
      </c>
      <c r="C22" s="13">
        <v>-74818.75</v>
      </c>
      <c r="D22" s="13">
        <v>-127722.25</v>
      </c>
      <c r="E22" s="13">
        <v>-76057.5</v>
      </c>
      <c r="F22" s="13">
        <v>-38269</v>
      </c>
      <c r="G22" s="62">
        <v>-53687.5</v>
      </c>
      <c r="H22" s="64">
        <v>-153033</v>
      </c>
      <c r="I22" s="64">
        <v>-9175.75</v>
      </c>
      <c r="J22" s="64">
        <v>-4429.5</v>
      </c>
      <c r="K22" s="67">
        <v>-16403.25</v>
      </c>
      <c r="L22" s="67">
        <v>-159168</v>
      </c>
      <c r="M22" s="67">
        <v>-87870</v>
      </c>
      <c r="N22" s="69">
        <v>-107499.84</v>
      </c>
      <c r="O22" s="76"/>
      <c r="P22" s="223">
        <f t="shared" si="0"/>
        <v>-908134.34</v>
      </c>
    </row>
    <row r="23" spans="1:16" x14ac:dyDescent="0.25">
      <c r="A23" s="10">
        <v>2011</v>
      </c>
      <c r="B23" s="12" t="s">
        <v>15</v>
      </c>
      <c r="C23" s="13">
        <v>-109151.25</v>
      </c>
      <c r="D23" s="13">
        <v>-99063.75</v>
      </c>
      <c r="E23" s="13">
        <v>-75755.25</v>
      </c>
      <c r="F23" s="13">
        <v>-36697.5</v>
      </c>
      <c r="G23" s="13">
        <v>-56400.75</v>
      </c>
      <c r="H23" s="13">
        <v>-150077.25</v>
      </c>
      <c r="I23" s="13">
        <v>-6601.5</v>
      </c>
      <c r="J23" s="13">
        <v>-3932</v>
      </c>
      <c r="K23" s="13">
        <v>-19026.75</v>
      </c>
      <c r="L23" s="13">
        <v>-102537.75</v>
      </c>
      <c r="M23" s="30">
        <v>-71814.75</v>
      </c>
      <c r="N23" s="30">
        <v>-123888</v>
      </c>
      <c r="O23" s="219">
        <v>-10355.25</v>
      </c>
      <c r="P23" s="223">
        <f t="shared" si="0"/>
        <v>-865301.75</v>
      </c>
    </row>
    <row r="24" spans="1:16" x14ac:dyDescent="0.25">
      <c r="A24" s="10">
        <v>2010</v>
      </c>
      <c r="B24" s="12" t="s">
        <v>15</v>
      </c>
      <c r="C24" s="13">
        <v>-84762</v>
      </c>
      <c r="D24" s="13">
        <v>-122839.5</v>
      </c>
      <c r="E24" s="13">
        <v>-74724.75</v>
      </c>
      <c r="F24" s="13">
        <v>-52297.5</v>
      </c>
      <c r="G24" s="13">
        <v>-27255</v>
      </c>
      <c r="H24" s="13">
        <v>-156055.5</v>
      </c>
      <c r="I24" s="13">
        <v>-5086.5</v>
      </c>
      <c r="J24" s="13">
        <v>-8496.75</v>
      </c>
      <c r="K24" s="13">
        <v>-28859.25</v>
      </c>
      <c r="L24" s="19">
        <v>-159051.75</v>
      </c>
      <c r="M24" s="19">
        <v>17397</v>
      </c>
      <c r="N24" s="13">
        <v>-125492.25</v>
      </c>
      <c r="O24" s="13">
        <v>-33694.5</v>
      </c>
      <c r="P24" s="223">
        <f t="shared" si="0"/>
        <v>-861218.25</v>
      </c>
    </row>
    <row r="25" spans="1:16" ht="15.75" thickBot="1" x14ac:dyDescent="0.3">
      <c r="A25" s="15">
        <v>2009</v>
      </c>
      <c r="B25" s="16" t="s">
        <v>15</v>
      </c>
      <c r="C25" s="17">
        <v>-79531.5</v>
      </c>
      <c r="D25" s="17">
        <v>-94191.75</v>
      </c>
      <c r="E25" s="17">
        <v>202.5</v>
      </c>
      <c r="F25" s="17">
        <v>-143417.25</v>
      </c>
      <c r="G25" s="17">
        <v>-27038.25</v>
      </c>
      <c r="H25" s="17">
        <v>-11941.5</v>
      </c>
      <c r="I25" s="17">
        <v>-169588.5</v>
      </c>
      <c r="J25" s="17">
        <v>-18837</v>
      </c>
      <c r="K25" s="17">
        <v>-83752.5</v>
      </c>
      <c r="L25" s="17">
        <v>-259884.75</v>
      </c>
      <c r="M25" s="17">
        <v>-68975.25</v>
      </c>
      <c r="N25" s="17">
        <v>-121702.5</v>
      </c>
      <c r="O25" s="17">
        <v>-30231.75</v>
      </c>
      <c r="P25" s="224">
        <f t="shared" si="0"/>
        <v>-1108890</v>
      </c>
    </row>
    <row r="29" spans="1:16" x14ac:dyDescent="0.25">
      <c r="A29" s="5" t="s">
        <v>29</v>
      </c>
    </row>
    <row r="30" spans="1:16" ht="6.75" customHeight="1" x14ac:dyDescent="0.25">
      <c r="A30" s="5"/>
    </row>
    <row r="31" spans="1:16" x14ac:dyDescent="0.25">
      <c r="J31" s="53"/>
    </row>
    <row r="32" spans="1:16" x14ac:dyDescent="0.25">
      <c r="B32" t="s">
        <v>30</v>
      </c>
      <c r="D32" s="194">
        <v>475664</v>
      </c>
      <c r="E32" s="27"/>
    </row>
    <row r="33" spans="3:12" x14ac:dyDescent="0.25">
      <c r="D33" s="27"/>
      <c r="E33" s="27"/>
      <c r="I33" t="s">
        <v>108</v>
      </c>
    </row>
    <row r="34" spans="3:12" x14ac:dyDescent="0.25">
      <c r="D34" s="27" t="s">
        <v>181</v>
      </c>
      <c r="E34" s="27"/>
      <c r="F34" s="27"/>
      <c r="H34" t="s">
        <v>182</v>
      </c>
      <c r="I34" t="s">
        <v>186</v>
      </c>
      <c r="J34" t="s">
        <v>187</v>
      </c>
      <c r="K34" t="s">
        <v>188</v>
      </c>
    </row>
    <row r="35" spans="3:12" ht="15.75" thickBot="1" x14ac:dyDescent="0.3">
      <c r="D35" s="59" t="s">
        <v>109</v>
      </c>
      <c r="E35" s="60" t="s">
        <v>108</v>
      </c>
      <c r="F35" s="61" t="s">
        <v>183</v>
      </c>
    </row>
    <row r="36" spans="3:12" x14ac:dyDescent="0.25">
      <c r="C36" t="s">
        <v>31</v>
      </c>
      <c r="D36" s="75">
        <v>125478.5</v>
      </c>
      <c r="E36" s="194">
        <v>151251</v>
      </c>
      <c r="F36" s="194">
        <v>626915</v>
      </c>
      <c r="H36" s="3" t="s">
        <v>31</v>
      </c>
      <c r="I36" s="63">
        <v>125665</v>
      </c>
      <c r="J36" s="63">
        <v>130974</v>
      </c>
      <c r="K36" s="196">
        <f>((I36*2)+(J36*2))/2</f>
        <v>256639</v>
      </c>
    </row>
    <row r="37" spans="3:12" x14ac:dyDescent="0.25">
      <c r="C37" t="s">
        <v>33</v>
      </c>
      <c r="D37" s="75">
        <v>101655.5</v>
      </c>
      <c r="E37" s="194">
        <v>74769.25</v>
      </c>
      <c r="F37" s="194">
        <v>701684.25</v>
      </c>
      <c r="H37" s="3" t="s">
        <v>33</v>
      </c>
      <c r="I37" s="63">
        <v>92129</v>
      </c>
      <c r="J37" s="63">
        <v>54504</v>
      </c>
      <c r="K37" s="196">
        <f t="shared" ref="K37:K41" si="1">((I37*2)+(J37*2))/2</f>
        <v>146633</v>
      </c>
    </row>
    <row r="38" spans="3:12" x14ac:dyDescent="0.25">
      <c r="C38" t="s">
        <v>34</v>
      </c>
      <c r="D38" s="75">
        <v>79025.5</v>
      </c>
      <c r="E38" s="194">
        <v>84104</v>
      </c>
      <c r="F38" s="3">
        <v>785788.25</v>
      </c>
      <c r="H38" s="3" t="s">
        <v>34</v>
      </c>
      <c r="I38" s="63">
        <v>85355</v>
      </c>
      <c r="J38" s="63">
        <v>79470</v>
      </c>
      <c r="K38" s="196">
        <f t="shared" si="1"/>
        <v>164825</v>
      </c>
    </row>
    <row r="39" spans="3:12" x14ac:dyDescent="0.25">
      <c r="C39" t="s">
        <v>35</v>
      </c>
      <c r="D39" s="75">
        <v>53436</v>
      </c>
      <c r="E39" s="194">
        <v>58414</v>
      </c>
      <c r="F39" s="3">
        <v>844202.25</v>
      </c>
      <c r="H39" s="3" t="s">
        <v>35</v>
      </c>
      <c r="I39" s="63">
        <v>42294</v>
      </c>
      <c r="J39" s="63">
        <v>59420</v>
      </c>
      <c r="K39" s="196">
        <f t="shared" si="1"/>
        <v>101714</v>
      </c>
    </row>
    <row r="40" spans="3:12" x14ac:dyDescent="0.25">
      <c r="C40" t="s">
        <v>36</v>
      </c>
      <c r="D40" s="75">
        <v>45183</v>
      </c>
      <c r="E40" s="63">
        <v>35772</v>
      </c>
      <c r="F40" s="3">
        <v>879974.25</v>
      </c>
      <c r="H40" s="3" t="s">
        <v>36</v>
      </c>
      <c r="I40" s="63">
        <v>54991</v>
      </c>
      <c r="J40" s="63">
        <v>33232</v>
      </c>
      <c r="K40" s="196">
        <f t="shared" si="1"/>
        <v>88223</v>
      </c>
    </row>
    <row r="41" spans="3:12" x14ac:dyDescent="0.25">
      <c r="C41" t="s">
        <v>37</v>
      </c>
      <c r="D41" s="75">
        <v>87628.5</v>
      </c>
      <c r="E41" s="194">
        <v>158506</v>
      </c>
      <c r="F41" s="3">
        <v>1038480.25</v>
      </c>
      <c r="H41" s="3" t="s">
        <v>37</v>
      </c>
      <c r="I41" s="63">
        <v>10963</v>
      </c>
      <c r="J41" s="63">
        <v>165019</v>
      </c>
      <c r="K41" s="196">
        <f t="shared" si="1"/>
        <v>175982</v>
      </c>
    </row>
    <row r="42" spans="3:12" x14ac:dyDescent="0.25">
      <c r="C42" t="s">
        <v>38</v>
      </c>
      <c r="D42" s="75">
        <v>86771.5</v>
      </c>
      <c r="E42" s="194">
        <v>8726</v>
      </c>
      <c r="F42" s="3">
        <v>1047206.25</v>
      </c>
      <c r="H42" s="3" t="s">
        <v>38</v>
      </c>
      <c r="I42" s="63">
        <v>162762</v>
      </c>
      <c r="J42" s="63">
        <v>12744</v>
      </c>
      <c r="K42" s="197">
        <f>((I42*2)+J42)/2</f>
        <v>169134</v>
      </c>
      <c r="L42" s="197" t="s">
        <v>189</v>
      </c>
    </row>
    <row r="43" spans="3:12" x14ac:dyDescent="0.25">
      <c r="C43" t="s">
        <v>39</v>
      </c>
      <c r="D43" s="75">
        <v>5080.5</v>
      </c>
      <c r="E43" s="194">
        <v>5301</v>
      </c>
      <c r="F43" s="3">
        <v>1052507.25</v>
      </c>
      <c r="H43" s="3" t="s">
        <v>39</v>
      </c>
      <c r="I43" s="63">
        <v>3368</v>
      </c>
      <c r="J43" s="63">
        <v>6404</v>
      </c>
      <c r="K43" s="197">
        <f t="shared" ref="K43:K47" si="2">((I43*2)+J43)/2</f>
        <v>6570</v>
      </c>
      <c r="L43" s="197"/>
    </row>
    <row r="44" spans="3:12" x14ac:dyDescent="0.25">
      <c r="C44" t="s">
        <v>40</v>
      </c>
      <c r="D44" s="75">
        <v>14021</v>
      </c>
      <c r="E44" s="194">
        <v>21939</v>
      </c>
      <c r="F44" s="3">
        <v>1074446.25</v>
      </c>
      <c r="H44" s="3" t="s">
        <v>40</v>
      </c>
      <c r="I44" s="63">
        <v>4888</v>
      </c>
      <c r="J44" s="63">
        <v>111332</v>
      </c>
      <c r="K44" s="197">
        <f t="shared" si="2"/>
        <v>60554</v>
      </c>
      <c r="L44" s="197"/>
    </row>
    <row r="45" spans="3:12" x14ac:dyDescent="0.25">
      <c r="C45" t="s">
        <v>41</v>
      </c>
      <c r="D45" s="75">
        <v>73834</v>
      </c>
      <c r="E45" s="194">
        <v>124177</v>
      </c>
      <c r="F45" s="3">
        <v>1198623.25</v>
      </c>
      <c r="H45" s="3" t="s">
        <v>41</v>
      </c>
      <c r="I45" s="77">
        <v>8906</v>
      </c>
      <c r="J45" s="77">
        <v>575524</v>
      </c>
      <c r="K45" s="197">
        <f t="shared" si="2"/>
        <v>296668</v>
      </c>
      <c r="L45" s="197"/>
    </row>
    <row r="46" spans="3:12" x14ac:dyDescent="0.25">
      <c r="C46" t="s">
        <v>42</v>
      </c>
      <c r="D46" s="75">
        <v>132453.5</v>
      </c>
      <c r="E46" s="194">
        <v>70284</v>
      </c>
      <c r="F46" s="3">
        <v>1268907.25</v>
      </c>
      <c r="H46" s="3" t="s">
        <v>42</v>
      </c>
      <c r="I46" s="77">
        <v>174506</v>
      </c>
      <c r="J46" s="77">
        <v>183695</v>
      </c>
      <c r="K46" s="197">
        <f t="shared" si="2"/>
        <v>266353.5</v>
      </c>
      <c r="L46" s="197"/>
    </row>
    <row r="47" spans="3:12" x14ac:dyDescent="0.25">
      <c r="C47" t="s">
        <v>43</v>
      </c>
      <c r="D47" s="75">
        <v>181930.5</v>
      </c>
      <c r="E47" s="194">
        <v>188913</v>
      </c>
      <c r="F47" s="3">
        <v>1457820.25</v>
      </c>
      <c r="H47" s="3" t="s">
        <v>43</v>
      </c>
      <c r="I47" s="77">
        <v>193568</v>
      </c>
      <c r="J47" s="77">
        <v>395998</v>
      </c>
      <c r="K47" s="197">
        <f t="shared" si="2"/>
        <v>391567</v>
      </c>
      <c r="L47" s="197"/>
    </row>
    <row r="48" spans="3:12" x14ac:dyDescent="0.25">
      <c r="C48" t="s">
        <v>58</v>
      </c>
      <c r="D48" s="3"/>
      <c r="E48" s="27"/>
      <c r="F48" s="3">
        <v>1457820.25</v>
      </c>
      <c r="H48" s="3" t="s">
        <v>58</v>
      </c>
    </row>
    <row r="49" spans="3:12" x14ac:dyDescent="0.25">
      <c r="D49" s="27"/>
      <c r="F49" s="27"/>
      <c r="H49" s="3"/>
    </row>
    <row r="50" spans="3:12" x14ac:dyDescent="0.25">
      <c r="D50" s="3">
        <v>986498</v>
      </c>
      <c r="E50" s="3">
        <v>982156.25</v>
      </c>
      <c r="F50" s="3">
        <v>1457820.25</v>
      </c>
      <c r="H50" s="3"/>
      <c r="K50" s="194">
        <f>SUM(K36:K47)</f>
        <v>2124862.5</v>
      </c>
    </row>
    <row r="51" spans="3:12" x14ac:dyDescent="0.25">
      <c r="D51" s="27"/>
      <c r="E51" s="27"/>
      <c r="F51" s="27"/>
      <c r="H51" s="3"/>
    </row>
    <row r="52" spans="3:12" x14ac:dyDescent="0.25">
      <c r="D52" s="27"/>
      <c r="E52" s="27"/>
      <c r="F52" s="27"/>
    </row>
    <row r="53" spans="3:12" x14ac:dyDescent="0.25">
      <c r="C53" t="s">
        <v>108</v>
      </c>
      <c r="D53" s="27"/>
      <c r="E53" s="27"/>
      <c r="F53" s="27"/>
    </row>
    <row r="54" spans="3:12" x14ac:dyDescent="0.25">
      <c r="C54" t="s">
        <v>187</v>
      </c>
      <c r="D54" s="27" t="s">
        <v>204</v>
      </c>
      <c r="E54" s="27" t="s">
        <v>205</v>
      </c>
      <c r="F54" s="27"/>
    </row>
    <row r="55" spans="3:12" ht="15.75" x14ac:dyDescent="0.3">
      <c r="C55" s="63">
        <v>-130974</v>
      </c>
      <c r="D55" s="99">
        <v>-295086</v>
      </c>
      <c r="E55" s="27">
        <f>AVERAGE(C55:D55)</f>
        <v>-213030</v>
      </c>
      <c r="F55" s="27"/>
      <c r="H55" t="s">
        <v>221</v>
      </c>
      <c r="I55" t="s">
        <v>108</v>
      </c>
    </row>
    <row r="56" spans="3:12" ht="15.75" x14ac:dyDescent="0.3">
      <c r="C56" s="63">
        <v>-54504</v>
      </c>
      <c r="D56" s="99">
        <v>-227043</v>
      </c>
      <c r="E56" s="27">
        <f t="shared" ref="E56:E66" si="3">AVERAGE(C56:D56)</f>
        <v>-140773.5</v>
      </c>
      <c r="F56" s="27"/>
      <c r="H56" t="s">
        <v>220</v>
      </c>
      <c r="I56" t="s">
        <v>187</v>
      </c>
      <c r="J56" t="s">
        <v>223</v>
      </c>
      <c r="K56" t="s">
        <v>204</v>
      </c>
      <c r="L56" t="s">
        <v>222</v>
      </c>
    </row>
    <row r="57" spans="3:12" ht="15.75" x14ac:dyDescent="0.3">
      <c r="C57" s="63">
        <v>-79470</v>
      </c>
      <c r="D57" s="99">
        <v>-203180.5</v>
      </c>
      <c r="E57" s="27">
        <f t="shared" si="3"/>
        <v>-141325.25</v>
      </c>
      <c r="F57" s="27"/>
    </row>
    <row r="58" spans="3:12" ht="15.75" x14ac:dyDescent="0.3">
      <c r="C58" s="63">
        <v>-59420</v>
      </c>
      <c r="D58" s="99">
        <v>-118562.5</v>
      </c>
      <c r="E58" s="27">
        <f t="shared" si="3"/>
        <v>-88991.25</v>
      </c>
      <c r="F58" s="27"/>
      <c r="H58" s="3" t="s">
        <v>31</v>
      </c>
      <c r="I58" s="63">
        <v>130974</v>
      </c>
      <c r="J58" s="196">
        <f>I58*2</f>
        <v>261948</v>
      </c>
      <c r="K58" s="226">
        <v>295086</v>
      </c>
      <c r="L58">
        <f>AVERAGE(J58:K58)</f>
        <v>278517</v>
      </c>
    </row>
    <row r="59" spans="3:12" ht="15.75" x14ac:dyDescent="0.3">
      <c r="C59" s="63">
        <v>-33232</v>
      </c>
      <c r="D59" s="99">
        <v>-98027.5</v>
      </c>
      <c r="E59" s="27">
        <f t="shared" si="3"/>
        <v>-65629.75</v>
      </c>
      <c r="F59" s="27"/>
      <c r="H59" s="3" t="s">
        <v>33</v>
      </c>
      <c r="I59" s="63">
        <v>54504</v>
      </c>
      <c r="J59" s="196">
        <f t="shared" ref="J59:J63" si="4">I59*2</f>
        <v>109008</v>
      </c>
      <c r="K59" s="226">
        <v>227043</v>
      </c>
      <c r="L59">
        <f t="shared" ref="L59:L69" si="5">AVERAGE(J59:K59)</f>
        <v>168025.5</v>
      </c>
    </row>
    <row r="60" spans="3:12" ht="15.75" x14ac:dyDescent="0.3">
      <c r="C60" s="63">
        <v>-165019</v>
      </c>
      <c r="D60" s="99">
        <v>-306944.75</v>
      </c>
      <c r="E60" s="27">
        <f t="shared" si="3"/>
        <v>-235981.875</v>
      </c>
      <c r="F60" s="27"/>
      <c r="H60" s="3" t="s">
        <v>34</v>
      </c>
      <c r="I60" s="63">
        <v>79470</v>
      </c>
      <c r="J60" s="196">
        <f t="shared" si="4"/>
        <v>158940</v>
      </c>
      <c r="K60" s="226">
        <v>203180.5</v>
      </c>
      <c r="L60">
        <f t="shared" si="5"/>
        <v>181060.25</v>
      </c>
    </row>
    <row r="61" spans="3:12" ht="15.75" x14ac:dyDescent="0.3">
      <c r="C61" s="63">
        <v>-12744</v>
      </c>
      <c r="D61" s="102">
        <v>-25398.5</v>
      </c>
      <c r="E61" s="27">
        <f t="shared" si="3"/>
        <v>-19071.25</v>
      </c>
      <c r="F61" s="27"/>
      <c r="H61" s="3" t="s">
        <v>35</v>
      </c>
      <c r="I61" s="63">
        <v>59420</v>
      </c>
      <c r="J61" s="196">
        <f t="shared" si="4"/>
        <v>118840</v>
      </c>
      <c r="K61" s="226">
        <v>118562.5</v>
      </c>
      <c r="L61">
        <f t="shared" si="5"/>
        <v>118701.25</v>
      </c>
    </row>
    <row r="62" spans="3:12" ht="15.75" x14ac:dyDescent="0.3">
      <c r="C62" s="63">
        <v>-6404</v>
      </c>
      <c r="D62" s="99">
        <v>-15436</v>
      </c>
      <c r="E62" s="27">
        <f t="shared" si="3"/>
        <v>-10920</v>
      </c>
      <c r="F62" s="27"/>
      <c r="H62" s="3" t="s">
        <v>36</v>
      </c>
      <c r="I62" s="63">
        <v>33232</v>
      </c>
      <c r="J62" s="196">
        <f t="shared" si="4"/>
        <v>66464</v>
      </c>
      <c r="K62" s="226">
        <v>98027.5</v>
      </c>
      <c r="L62">
        <f t="shared" si="5"/>
        <v>82245.75</v>
      </c>
    </row>
    <row r="63" spans="3:12" x14ac:dyDescent="0.25">
      <c r="C63" s="63">
        <v>-111332</v>
      </c>
      <c r="D63" s="63">
        <v>-183846</v>
      </c>
      <c r="E63" s="27">
        <f t="shared" si="3"/>
        <v>-147589</v>
      </c>
      <c r="F63" s="27"/>
      <c r="H63" s="3" t="s">
        <v>37</v>
      </c>
      <c r="I63" s="63">
        <v>165019</v>
      </c>
      <c r="J63" s="196">
        <f t="shared" si="4"/>
        <v>330038</v>
      </c>
      <c r="K63" s="226">
        <v>306944.75</v>
      </c>
      <c r="L63">
        <f t="shared" si="5"/>
        <v>318491.375</v>
      </c>
    </row>
    <row r="64" spans="3:12" x14ac:dyDescent="0.25">
      <c r="C64" s="77">
        <v>-575524</v>
      </c>
      <c r="D64" s="77">
        <v>-503634</v>
      </c>
      <c r="E64" s="27">
        <f t="shared" si="3"/>
        <v>-539579</v>
      </c>
      <c r="H64" s="3" t="s">
        <v>38</v>
      </c>
      <c r="I64" s="63">
        <v>12744</v>
      </c>
      <c r="J64" s="63">
        <v>12744</v>
      </c>
      <c r="K64" s="226">
        <v>25398.5</v>
      </c>
      <c r="L64">
        <f t="shared" si="5"/>
        <v>19071.25</v>
      </c>
    </row>
    <row r="65" spans="3:12" x14ac:dyDescent="0.25">
      <c r="C65" s="77">
        <v>-183695</v>
      </c>
      <c r="D65" s="206">
        <f>AVERAGE(M15:M16)</f>
        <v>-179100.5</v>
      </c>
      <c r="E65" s="27">
        <f t="shared" si="3"/>
        <v>-181397.75</v>
      </c>
      <c r="F65" s="293" t="s">
        <v>207</v>
      </c>
      <c r="G65" s="293"/>
      <c r="H65" s="3" t="s">
        <v>39</v>
      </c>
      <c r="I65" s="63">
        <v>6404</v>
      </c>
      <c r="J65" s="63">
        <v>6404</v>
      </c>
      <c r="K65" s="226">
        <v>15436</v>
      </c>
      <c r="L65">
        <f t="shared" si="5"/>
        <v>10920</v>
      </c>
    </row>
    <row r="66" spans="3:12" x14ac:dyDescent="0.25">
      <c r="C66" s="77">
        <v>-395998</v>
      </c>
      <c r="D66" s="206">
        <f>AVERAGE(N15:N16)</f>
        <v>-294783</v>
      </c>
      <c r="E66" s="27">
        <f t="shared" si="3"/>
        <v>-345390.5</v>
      </c>
      <c r="F66" s="293"/>
      <c r="G66" s="293"/>
      <c r="H66" s="3" t="s">
        <v>40</v>
      </c>
      <c r="I66" s="63">
        <v>111332</v>
      </c>
      <c r="J66" s="63">
        <v>111332</v>
      </c>
      <c r="K66" s="226">
        <v>183846</v>
      </c>
      <c r="L66">
        <f t="shared" si="5"/>
        <v>147589</v>
      </c>
    </row>
    <row r="67" spans="3:12" x14ac:dyDescent="0.25">
      <c r="H67" s="3" t="s">
        <v>41</v>
      </c>
      <c r="I67" s="77">
        <v>575524</v>
      </c>
      <c r="J67" s="77">
        <v>575524</v>
      </c>
      <c r="K67" s="226">
        <v>503787</v>
      </c>
      <c r="L67">
        <f t="shared" si="5"/>
        <v>539655.5</v>
      </c>
    </row>
    <row r="68" spans="3:12" x14ac:dyDescent="0.25">
      <c r="C68" s="63">
        <f>SUM(C55:C66)</f>
        <v>-1808316</v>
      </c>
      <c r="D68" s="63">
        <f t="shared" ref="D68:E68" si="6">SUM(D55:D66)</f>
        <v>-2451042.25</v>
      </c>
      <c r="E68" s="63">
        <f t="shared" si="6"/>
        <v>-2129679.125</v>
      </c>
      <c r="F68" t="s">
        <v>206</v>
      </c>
      <c r="H68" s="3" t="s">
        <v>42</v>
      </c>
      <c r="I68" s="77">
        <v>183695</v>
      </c>
      <c r="J68" s="77">
        <v>183695</v>
      </c>
      <c r="K68" s="226">
        <v>287896.5</v>
      </c>
      <c r="L68">
        <f t="shared" si="5"/>
        <v>235795.75</v>
      </c>
    </row>
    <row r="69" spans="3:12" x14ac:dyDescent="0.25">
      <c r="H69" s="3" t="s">
        <v>43</v>
      </c>
      <c r="I69" s="77">
        <v>395998</v>
      </c>
      <c r="J69" s="77">
        <v>395998</v>
      </c>
      <c r="K69" s="226">
        <v>518770.06</v>
      </c>
      <c r="L69">
        <f t="shared" si="5"/>
        <v>457384.03</v>
      </c>
    </row>
    <row r="70" spans="3:12" x14ac:dyDescent="0.25">
      <c r="H70" s="3" t="s">
        <v>58</v>
      </c>
    </row>
    <row r="71" spans="3:12" x14ac:dyDescent="0.25">
      <c r="H71" s="3"/>
    </row>
    <row r="72" spans="3:12" x14ac:dyDescent="0.25">
      <c r="C72" t="s">
        <v>108</v>
      </c>
      <c r="D72" s="27"/>
      <c r="E72" s="27"/>
      <c r="H72" s="3" t="s">
        <v>219</v>
      </c>
      <c r="I72" s="63">
        <f>SUM(I58:I69)</f>
        <v>1808316</v>
      </c>
      <c r="J72" s="196">
        <f>SUM(J58:J69)</f>
        <v>2330935</v>
      </c>
      <c r="K72" s="63">
        <f>SUM(K58:K69)</f>
        <v>2783978.31</v>
      </c>
      <c r="L72" s="63">
        <f>SUM(L58:L69)</f>
        <v>2557456.6550000003</v>
      </c>
    </row>
    <row r="73" spans="3:12" x14ac:dyDescent="0.25">
      <c r="C73" t="s">
        <v>204</v>
      </c>
      <c r="D73" s="27" t="s">
        <v>243</v>
      </c>
      <c r="E73" s="27" t="s">
        <v>245</v>
      </c>
      <c r="H73" s="3"/>
    </row>
    <row r="74" spans="3:12" ht="15.75" x14ac:dyDescent="0.3">
      <c r="C74" s="99">
        <v>295086</v>
      </c>
      <c r="D74" s="99">
        <f>'[1]FY 20-21'!$C$18</f>
        <v>277852.5</v>
      </c>
      <c r="E74" s="275">
        <f>AVERAGE(C74:D74)</f>
        <v>286469.25</v>
      </c>
    </row>
    <row r="75" spans="3:12" ht="15.75" x14ac:dyDescent="0.3">
      <c r="C75" s="99">
        <v>227043</v>
      </c>
      <c r="D75" s="99">
        <f>'[1]FY 20-21'!$D$18</f>
        <v>348065</v>
      </c>
      <c r="E75" s="275">
        <f t="shared" ref="E75:E85" si="7">AVERAGE(C75:D75)</f>
        <v>287554</v>
      </c>
    </row>
    <row r="76" spans="3:12" ht="15.75" x14ac:dyDescent="0.3">
      <c r="C76" s="99">
        <v>203181</v>
      </c>
      <c r="D76" s="99">
        <f>'[1]FY 20-21'!$E$18</f>
        <v>202965</v>
      </c>
      <c r="E76" s="275">
        <f t="shared" si="7"/>
        <v>203073</v>
      </c>
    </row>
    <row r="77" spans="3:12" ht="15.75" x14ac:dyDescent="0.3">
      <c r="C77" s="99">
        <v>118563</v>
      </c>
      <c r="D77" s="99">
        <v>116526</v>
      </c>
      <c r="E77" s="275">
        <f t="shared" si="7"/>
        <v>117544.5</v>
      </c>
    </row>
    <row r="78" spans="3:12" ht="15.75" x14ac:dyDescent="0.3">
      <c r="C78" s="99">
        <v>98028</v>
      </c>
      <c r="D78" s="99">
        <v>91825</v>
      </c>
      <c r="E78" s="275">
        <f t="shared" si="7"/>
        <v>94926.5</v>
      </c>
    </row>
    <row r="79" spans="3:12" ht="15.75" x14ac:dyDescent="0.3">
      <c r="C79" s="99">
        <v>306945</v>
      </c>
      <c r="D79" s="99">
        <v>318420</v>
      </c>
      <c r="E79" s="275">
        <f t="shared" si="7"/>
        <v>312682.5</v>
      </c>
    </row>
    <row r="80" spans="3:12" ht="15.75" x14ac:dyDescent="0.3">
      <c r="C80" s="102">
        <v>25399</v>
      </c>
      <c r="D80" s="102">
        <v>29411</v>
      </c>
      <c r="E80" s="275">
        <f t="shared" si="7"/>
        <v>27405</v>
      </c>
    </row>
    <row r="81" spans="2:5" ht="15.75" x14ac:dyDescent="0.3">
      <c r="C81" s="99">
        <v>15436</v>
      </c>
      <c r="D81" s="99">
        <v>15339</v>
      </c>
      <c r="E81" s="275">
        <f t="shared" si="7"/>
        <v>15387.5</v>
      </c>
    </row>
    <row r="82" spans="2:5" ht="15.75" x14ac:dyDescent="0.3">
      <c r="C82" s="99">
        <v>183846</v>
      </c>
      <c r="D82" s="99">
        <v>200640.5</v>
      </c>
      <c r="E82" s="275">
        <f t="shared" si="7"/>
        <v>192243.25</v>
      </c>
    </row>
    <row r="83" spans="2:5" ht="15.75" x14ac:dyDescent="0.3">
      <c r="C83" s="99">
        <v>503787</v>
      </c>
      <c r="D83" s="99">
        <v>627997</v>
      </c>
      <c r="E83" s="275">
        <f t="shared" si="7"/>
        <v>565892</v>
      </c>
    </row>
    <row r="84" spans="2:5" ht="15.75" x14ac:dyDescent="0.3">
      <c r="C84" s="99">
        <v>287897</v>
      </c>
      <c r="D84" s="99">
        <v>187412</v>
      </c>
      <c r="E84" s="275">
        <f t="shared" si="7"/>
        <v>237654.5</v>
      </c>
    </row>
    <row r="85" spans="2:5" ht="15.75" x14ac:dyDescent="0.3">
      <c r="C85" s="99">
        <v>518770</v>
      </c>
      <c r="D85" s="99">
        <v>427692</v>
      </c>
      <c r="E85" s="275">
        <f t="shared" si="7"/>
        <v>473231</v>
      </c>
    </row>
    <row r="86" spans="2:5" x14ac:dyDescent="0.25">
      <c r="B86" t="s">
        <v>244</v>
      </c>
      <c r="C86" s="275">
        <f>SUM(C74:C85)</f>
        <v>2783981</v>
      </c>
      <c r="D86" s="275">
        <f t="shared" ref="D86:E86" si="8">SUM(D74:D85)</f>
        <v>2844145</v>
      </c>
      <c r="E86" s="275">
        <f t="shared" si="8"/>
        <v>2814063</v>
      </c>
    </row>
  </sheetData>
  <mergeCells count="5">
    <mergeCell ref="A1:O1"/>
    <mergeCell ref="A2:O2"/>
    <mergeCell ref="A3:O3"/>
    <mergeCell ref="A4:O4"/>
    <mergeCell ref="F65:G66"/>
  </mergeCells>
  <pageMargins left="0.75" right="0.75" top="1" bottom="1" header="0.5" footer="0.5"/>
  <pageSetup scale="35" orientation="landscape" verticalDpi="4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64"/>
  <sheetViews>
    <sheetView topLeftCell="A34" workbookViewId="0">
      <selection activeCell="D21" sqref="D21"/>
    </sheetView>
  </sheetViews>
  <sheetFormatPr defaultRowHeight="15" x14ac:dyDescent="0.25"/>
  <cols>
    <col min="1" max="1" width="21.7109375" style="40" customWidth="1"/>
    <col min="2" max="2" width="6.140625" style="42" customWidth="1"/>
    <col min="3" max="16" width="12.7109375" style="40" customWidth="1"/>
    <col min="17" max="17" width="10" style="40" bestFit="1" customWidth="1"/>
    <col min="18" max="16384" width="9.140625" style="40"/>
  </cols>
  <sheetData>
    <row r="1" spans="1:17" ht="23.25" x14ac:dyDescent="0.35">
      <c r="A1" s="38" t="s">
        <v>54</v>
      </c>
      <c r="B1" s="39"/>
    </row>
    <row r="4" spans="1:17" ht="18.75" x14ac:dyDescent="0.3">
      <c r="A4" s="50" t="s">
        <v>131</v>
      </c>
      <c r="B4" s="41"/>
    </row>
    <row r="5" spans="1:17" ht="15.75" thickBot="1" x14ac:dyDescent="0.3"/>
    <row r="6" spans="1:17" ht="15.75" thickBot="1" x14ac:dyDescent="0.3">
      <c r="C6" s="294" t="s">
        <v>57</v>
      </c>
      <c r="D6" s="295"/>
      <c r="E6" s="295"/>
      <c r="F6" s="295"/>
      <c r="G6" s="295"/>
      <c r="H6" s="295"/>
      <c r="I6" s="295"/>
      <c r="J6" s="295"/>
      <c r="K6" s="295"/>
      <c r="L6" s="295"/>
      <c r="M6" s="296"/>
      <c r="N6" s="296"/>
      <c r="O6" s="71"/>
      <c r="P6" s="297" t="s">
        <v>53</v>
      </c>
    </row>
    <row r="7" spans="1:17" ht="15.75" thickBot="1" x14ac:dyDescent="0.3">
      <c r="A7" s="43" t="s">
        <v>55</v>
      </c>
      <c r="C7" s="302" t="s">
        <v>59</v>
      </c>
      <c r="D7" s="303"/>
      <c r="E7" s="303"/>
      <c r="F7" s="303"/>
      <c r="G7" s="304"/>
      <c r="H7" s="300" t="s">
        <v>120</v>
      </c>
      <c r="I7" s="300"/>
      <c r="J7" s="300"/>
      <c r="K7" s="300"/>
      <c r="L7" s="300"/>
      <c r="M7" s="300"/>
      <c r="N7" s="300"/>
      <c r="O7" s="301"/>
      <c r="P7" s="298"/>
    </row>
    <row r="8" spans="1:17" ht="15.75" thickBot="1" x14ac:dyDescent="0.3">
      <c r="A8" s="44" t="s">
        <v>56</v>
      </c>
      <c r="C8" s="44" t="s">
        <v>31</v>
      </c>
      <c r="D8" s="44" t="s">
        <v>33</v>
      </c>
      <c r="E8" s="44" t="s">
        <v>34</v>
      </c>
      <c r="F8" s="44" t="s">
        <v>35</v>
      </c>
      <c r="G8" s="44" t="s">
        <v>36</v>
      </c>
      <c r="H8" s="44" t="s">
        <v>37</v>
      </c>
      <c r="I8" s="44" t="s">
        <v>38</v>
      </c>
      <c r="J8" s="44" t="s">
        <v>39</v>
      </c>
      <c r="K8" s="44" t="s">
        <v>40</v>
      </c>
      <c r="L8" s="44" t="s">
        <v>41</v>
      </c>
      <c r="M8" s="44" t="s">
        <v>42</v>
      </c>
      <c r="N8" s="44" t="s">
        <v>43</v>
      </c>
      <c r="O8" s="44" t="s">
        <v>119</v>
      </c>
      <c r="P8" s="299"/>
    </row>
    <row r="10" spans="1:17" ht="17.25" customHeight="1" x14ac:dyDescent="0.25">
      <c r="A10" s="79" t="s">
        <v>135</v>
      </c>
      <c r="C10" s="45">
        <v>11858.74</v>
      </c>
      <c r="D10" s="45">
        <v>11858.74</v>
      </c>
      <c r="E10" s="45">
        <v>11858.74</v>
      </c>
      <c r="F10" s="45">
        <v>11858.74</v>
      </c>
      <c r="G10" s="45">
        <v>11858.74</v>
      </c>
      <c r="H10" s="45">
        <v>11858.74</v>
      </c>
      <c r="I10" s="45">
        <v>11858.74</v>
      </c>
      <c r="J10" s="45">
        <v>11858.74</v>
      </c>
      <c r="K10" s="45">
        <v>11858.74</v>
      </c>
      <c r="L10" s="45">
        <v>11858.74</v>
      </c>
      <c r="M10" s="45">
        <v>11858.74</v>
      </c>
      <c r="N10" s="45">
        <v>11862</v>
      </c>
      <c r="O10" s="45"/>
      <c r="P10" s="45">
        <f>SUM(C10:O10)</f>
        <v>142308.14000000001</v>
      </c>
      <c r="Q10" s="45">
        <f>SUM(P10:P16)</f>
        <v>850000.14</v>
      </c>
    </row>
    <row r="11" spans="1:17" ht="17.25" customHeight="1" x14ac:dyDescent="0.25">
      <c r="A11" s="79"/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45"/>
      <c r="P11" s="45"/>
    </row>
    <row r="12" spans="1:17" ht="17.25" customHeight="1" x14ac:dyDescent="0.25">
      <c r="A12" s="79" t="s">
        <v>132</v>
      </c>
      <c r="C12" s="45">
        <v>78000</v>
      </c>
      <c r="D12" s="45">
        <v>0</v>
      </c>
      <c r="E12" s="45"/>
      <c r="F12" s="45"/>
      <c r="G12" s="45"/>
      <c r="H12" s="45"/>
      <c r="I12" s="45">
        <v>442000</v>
      </c>
      <c r="J12" s="45"/>
      <c r="K12" s="45"/>
      <c r="L12" s="45"/>
      <c r="M12" s="45"/>
      <c r="N12" s="45"/>
      <c r="O12" s="45"/>
      <c r="P12" s="45">
        <f>SUM(C12:N12)</f>
        <v>520000</v>
      </c>
    </row>
    <row r="13" spans="1:17" ht="17.25" customHeight="1" x14ac:dyDescent="0.25">
      <c r="A13" s="79"/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45"/>
      <c r="P13" s="45"/>
    </row>
    <row r="14" spans="1:17" ht="17.25" customHeight="1" x14ac:dyDescent="0.25">
      <c r="A14" s="79" t="s">
        <v>137</v>
      </c>
      <c r="C14" s="45"/>
      <c r="D14" s="45">
        <v>0</v>
      </c>
      <c r="E14" s="45"/>
      <c r="F14" s="45">
        <v>21275</v>
      </c>
      <c r="G14" s="45">
        <v>18972</v>
      </c>
      <c r="H14" s="45"/>
      <c r="I14" s="45"/>
      <c r="J14" s="45"/>
      <c r="K14" s="45"/>
      <c r="L14" s="45"/>
      <c r="M14" s="45"/>
      <c r="N14" s="45"/>
      <c r="O14" s="45"/>
      <c r="P14" s="45">
        <f>SUM(C14:N14)</f>
        <v>40247</v>
      </c>
    </row>
    <row r="15" spans="1:17" ht="17.25" customHeight="1" x14ac:dyDescent="0.25">
      <c r="A15" s="79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45"/>
      <c r="P15" s="45"/>
    </row>
    <row r="16" spans="1:17" ht="17.25" customHeight="1" x14ac:dyDescent="0.25">
      <c r="A16" s="79" t="s">
        <v>136</v>
      </c>
      <c r="C16" s="45"/>
      <c r="D16" s="45">
        <v>0</v>
      </c>
      <c r="E16" s="45">
        <v>20695</v>
      </c>
      <c r="F16" s="45"/>
      <c r="G16" s="45">
        <v>120875</v>
      </c>
      <c r="H16" s="45"/>
      <c r="I16" s="45"/>
      <c r="J16" s="45"/>
      <c r="K16" s="45"/>
      <c r="L16" s="45"/>
      <c r="M16" s="45">
        <v>5875</v>
      </c>
      <c r="N16" s="45"/>
      <c r="O16" s="45"/>
      <c r="P16" s="45">
        <f>SUM(C16:N16)</f>
        <v>147445</v>
      </c>
    </row>
    <row r="17" spans="1:17" ht="17.25" customHeight="1" x14ac:dyDescent="0.25">
      <c r="A17" s="79"/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45"/>
      <c r="P17" s="45"/>
    </row>
    <row r="18" spans="1:17" ht="17.25" customHeight="1" x14ac:dyDescent="0.25">
      <c r="A18" s="79" t="s">
        <v>133</v>
      </c>
      <c r="C18" s="45"/>
      <c r="D18" s="45">
        <v>1500</v>
      </c>
      <c r="E18" s="45"/>
      <c r="F18" s="45">
        <v>1500</v>
      </c>
      <c r="G18" s="45"/>
      <c r="H18" s="45">
        <v>1500</v>
      </c>
      <c r="I18" s="45"/>
      <c r="J18" s="45">
        <v>1500</v>
      </c>
      <c r="K18" s="45"/>
      <c r="L18" s="45">
        <v>1500</v>
      </c>
      <c r="M18" s="45"/>
      <c r="N18" s="45">
        <v>1500</v>
      </c>
      <c r="O18" s="45"/>
      <c r="P18" s="45">
        <f>SUM(D18:O18)</f>
        <v>9000</v>
      </c>
      <c r="Q18" s="45">
        <f>SUM(P18:P22)</f>
        <v>25000</v>
      </c>
    </row>
    <row r="19" spans="1:17" ht="17.25" customHeight="1" x14ac:dyDescent="0.25">
      <c r="A19" s="79"/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45"/>
      <c r="P19" s="45">
        <f>SUM(D19:O19)</f>
        <v>0</v>
      </c>
    </row>
    <row r="20" spans="1:17" ht="17.25" customHeight="1" x14ac:dyDescent="0.25">
      <c r="A20" s="79" t="s">
        <v>134</v>
      </c>
      <c r="C20" s="45"/>
      <c r="D20" s="45">
        <v>500</v>
      </c>
      <c r="E20" s="45"/>
      <c r="F20" s="45">
        <v>500</v>
      </c>
      <c r="G20" s="45"/>
      <c r="H20" s="45">
        <v>500</v>
      </c>
      <c r="I20" s="45"/>
      <c r="J20" s="45">
        <v>700</v>
      </c>
      <c r="K20" s="45"/>
      <c r="L20" s="45">
        <v>5000</v>
      </c>
      <c r="M20" s="45"/>
      <c r="N20" s="45">
        <v>500</v>
      </c>
      <c r="O20" s="45"/>
      <c r="P20" s="45">
        <f>SUM(D20:O20)</f>
        <v>7700</v>
      </c>
    </row>
    <row r="21" spans="1:17" ht="17.25" customHeight="1" x14ac:dyDescent="0.25">
      <c r="A21" s="79"/>
      <c r="B21" s="35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45"/>
      <c r="P21" s="45"/>
    </row>
    <row r="22" spans="1:17" ht="17.25" customHeight="1" x14ac:dyDescent="0.25">
      <c r="A22" s="79" t="s">
        <v>138</v>
      </c>
      <c r="C22" s="45"/>
      <c r="D22" s="45">
        <v>1000</v>
      </c>
      <c r="E22" s="45">
        <v>500</v>
      </c>
      <c r="F22" s="45">
        <v>1000</v>
      </c>
      <c r="G22" s="45">
        <v>500</v>
      </c>
      <c r="H22" s="45">
        <v>1000</v>
      </c>
      <c r="I22" s="45">
        <v>500</v>
      </c>
      <c r="J22" s="45">
        <v>1000</v>
      </c>
      <c r="K22" s="45">
        <v>500</v>
      </c>
      <c r="L22" s="45">
        <v>1000</v>
      </c>
      <c r="M22" s="45">
        <v>300</v>
      </c>
      <c r="N22" s="45">
        <v>1000</v>
      </c>
      <c r="O22" s="45"/>
      <c r="P22" s="45">
        <f>SUM(D22:O22)</f>
        <v>8300</v>
      </c>
    </row>
    <row r="23" spans="1:17" ht="2.25" customHeight="1" thickBot="1" x14ac:dyDescent="0.3">
      <c r="A23" s="37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</row>
    <row r="24" spans="1:17" ht="15.75" thickBot="1" x14ac:dyDescent="0.3">
      <c r="A24" s="46" t="s">
        <v>53</v>
      </c>
      <c r="B24" s="47"/>
      <c r="C24" s="48">
        <f>SUM(C10:C23)</f>
        <v>89858.74</v>
      </c>
      <c r="D24" s="48">
        <f t="shared" ref="D24:N24" si="0">SUM(D10:D23)</f>
        <v>14858.74</v>
      </c>
      <c r="E24" s="48">
        <f t="shared" si="0"/>
        <v>33053.74</v>
      </c>
      <c r="F24" s="48">
        <f t="shared" si="0"/>
        <v>36133.74</v>
      </c>
      <c r="G24" s="48">
        <f t="shared" si="0"/>
        <v>152205.74</v>
      </c>
      <c r="H24" s="48">
        <f t="shared" si="0"/>
        <v>14858.74</v>
      </c>
      <c r="I24" s="48">
        <f t="shared" si="0"/>
        <v>454358.74</v>
      </c>
      <c r="J24" s="48">
        <f t="shared" si="0"/>
        <v>15058.74</v>
      </c>
      <c r="K24" s="48">
        <f t="shared" si="0"/>
        <v>12358.74</v>
      </c>
      <c r="L24" s="48">
        <f t="shared" si="0"/>
        <v>19358.739999999998</v>
      </c>
      <c r="M24" s="48">
        <f t="shared" si="0"/>
        <v>18033.739999999998</v>
      </c>
      <c r="N24" s="48">
        <f t="shared" si="0"/>
        <v>14862</v>
      </c>
      <c r="O24" s="72"/>
      <c r="P24" s="49">
        <f>SUM(P10:P22)</f>
        <v>875000.14</v>
      </c>
    </row>
    <row r="25" spans="1:17" ht="15.75" thickTop="1" x14ac:dyDescent="0.25"/>
    <row r="30" spans="1:17" ht="15.75" thickBot="1" x14ac:dyDescent="0.3">
      <c r="A30" s="5" t="s">
        <v>126</v>
      </c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x14ac:dyDescent="0.25">
      <c r="A31" s="6"/>
      <c r="B31" s="7"/>
      <c r="C31" s="8" t="s">
        <v>1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9"/>
      <c r="P31"/>
      <c r="Q31"/>
    </row>
    <row r="32" spans="1:17" x14ac:dyDescent="0.25">
      <c r="A32" s="10"/>
      <c r="B32" s="4"/>
      <c r="C32" s="2" t="s">
        <v>2</v>
      </c>
      <c r="D32" s="2" t="s">
        <v>3</v>
      </c>
      <c r="E32" s="2" t="s">
        <v>4</v>
      </c>
      <c r="F32" s="2" t="s">
        <v>5</v>
      </c>
      <c r="G32" s="2" t="s">
        <v>6</v>
      </c>
      <c r="H32" s="2" t="s">
        <v>7</v>
      </c>
      <c r="I32" s="2" t="s">
        <v>8</v>
      </c>
      <c r="J32" s="2" t="s">
        <v>9</v>
      </c>
      <c r="K32" s="2" t="s">
        <v>10</v>
      </c>
      <c r="L32" s="2" t="s">
        <v>11</v>
      </c>
      <c r="M32" s="2" t="s">
        <v>12</v>
      </c>
      <c r="N32" s="2" t="s">
        <v>13</v>
      </c>
      <c r="O32" s="11" t="s">
        <v>14</v>
      </c>
      <c r="P32"/>
      <c r="Q32"/>
    </row>
    <row r="33" spans="1:17" x14ac:dyDescent="0.25">
      <c r="A33" s="10"/>
      <c r="B33" s="1" t="s">
        <v>0</v>
      </c>
      <c r="C33" s="32" t="s">
        <v>31</v>
      </c>
      <c r="D33" s="32" t="s">
        <v>33</v>
      </c>
      <c r="E33" s="32" t="s">
        <v>34</v>
      </c>
      <c r="F33" s="32" t="s">
        <v>35</v>
      </c>
      <c r="G33" s="32" t="s">
        <v>36</v>
      </c>
      <c r="H33" s="32" t="s">
        <v>37</v>
      </c>
      <c r="I33" s="32" t="s">
        <v>38</v>
      </c>
      <c r="J33" s="32" t="s">
        <v>39</v>
      </c>
      <c r="K33" s="32" t="s">
        <v>40</v>
      </c>
      <c r="L33" s="32" t="s">
        <v>41</v>
      </c>
      <c r="M33" s="32" t="s">
        <v>44</v>
      </c>
      <c r="N33" s="32" t="s">
        <v>43</v>
      </c>
      <c r="O33" s="33" t="s">
        <v>45</v>
      </c>
      <c r="P33"/>
      <c r="Q33"/>
    </row>
    <row r="34" spans="1:17" x14ac:dyDescent="0.25">
      <c r="A34" s="10">
        <v>2016</v>
      </c>
      <c r="B34" s="2"/>
      <c r="C34" s="76">
        <v>0</v>
      </c>
      <c r="D34" s="76">
        <v>0</v>
      </c>
      <c r="E34" s="76">
        <v>290973.69</v>
      </c>
      <c r="F34" s="76">
        <v>141098.79999999999</v>
      </c>
      <c r="G34" s="78">
        <v>43851</v>
      </c>
      <c r="H34" s="76">
        <v>24796</v>
      </c>
      <c r="I34" s="76">
        <v>24620</v>
      </c>
      <c r="J34" s="76">
        <v>14985</v>
      </c>
      <c r="K34" s="76">
        <v>31339</v>
      </c>
      <c r="L34" s="76">
        <v>204925</v>
      </c>
      <c r="M34" s="76">
        <v>237127</v>
      </c>
      <c r="N34" s="76">
        <v>79616</v>
      </c>
      <c r="O34" s="51">
        <v>3608</v>
      </c>
      <c r="P34"/>
      <c r="Q34"/>
    </row>
    <row r="35" spans="1:17" x14ac:dyDescent="0.25">
      <c r="A35" s="10">
        <v>2015</v>
      </c>
      <c r="B35" s="2">
        <v>4280</v>
      </c>
      <c r="C35" s="63">
        <v>0</v>
      </c>
      <c r="D35" s="63">
        <v>1347.23</v>
      </c>
      <c r="E35" s="63">
        <v>33118.33</v>
      </c>
      <c r="F35" s="63">
        <v>98860.68</v>
      </c>
      <c r="G35" s="63">
        <v>129546.51999999999</v>
      </c>
      <c r="H35" s="63">
        <v>47849.55</v>
      </c>
      <c r="I35" s="63">
        <v>38392.75</v>
      </c>
      <c r="J35" s="63">
        <v>676</v>
      </c>
      <c r="K35" s="63">
        <v>176159.8</v>
      </c>
      <c r="L35" s="63">
        <v>147554.59</v>
      </c>
      <c r="M35" s="63">
        <v>152081.00999999998</v>
      </c>
      <c r="N35" s="63">
        <v>38757.350000000006</v>
      </c>
      <c r="O35" s="51">
        <v>0</v>
      </c>
      <c r="P35">
        <v>864343.80999999994</v>
      </c>
      <c r="Q35"/>
    </row>
    <row r="36" spans="1:17" x14ac:dyDescent="0.25">
      <c r="A36" s="10">
        <v>2014</v>
      </c>
      <c r="B36" s="2">
        <v>428</v>
      </c>
      <c r="C36" s="70">
        <v>0</v>
      </c>
      <c r="D36" s="70">
        <v>115382.18999999999</v>
      </c>
      <c r="E36" s="70">
        <v>149.96</v>
      </c>
      <c r="F36" s="70">
        <v>289412.58999999997</v>
      </c>
      <c r="G36" s="70">
        <v>98389</v>
      </c>
      <c r="H36" s="70">
        <v>71473</v>
      </c>
      <c r="I36" s="70">
        <v>14090.689999999999</v>
      </c>
      <c r="J36" s="70">
        <v>9439.880000000001</v>
      </c>
      <c r="K36" s="70">
        <v>178006</v>
      </c>
      <c r="L36" s="70">
        <v>115806</v>
      </c>
      <c r="M36" s="70">
        <v>118469.49</v>
      </c>
      <c r="N36" s="70">
        <v>16506.849999999999</v>
      </c>
      <c r="O36" s="74">
        <v>0</v>
      </c>
      <c r="P36">
        <v>1027125.6499999999</v>
      </c>
      <c r="Q36"/>
    </row>
    <row r="37" spans="1:17" x14ac:dyDescent="0.25">
      <c r="A37" s="10">
        <v>2013</v>
      </c>
      <c r="B37" s="68">
        <v>428</v>
      </c>
      <c r="C37" s="64">
        <v>0</v>
      </c>
      <c r="D37" s="64">
        <v>162629.91</v>
      </c>
      <c r="E37" s="64">
        <v>42170.3</v>
      </c>
      <c r="F37" s="64">
        <v>36882.579999999994</v>
      </c>
      <c r="G37" s="64">
        <v>22495.969999999998</v>
      </c>
      <c r="H37" s="64">
        <v>43718.96</v>
      </c>
      <c r="I37" s="64">
        <v>0</v>
      </c>
      <c r="J37" s="64">
        <v>19194.560000000005</v>
      </c>
      <c r="K37" s="70">
        <v>111349.27</v>
      </c>
      <c r="L37" s="70">
        <v>2454.09</v>
      </c>
      <c r="M37" s="70">
        <v>260553.74000000002</v>
      </c>
      <c r="N37" s="70">
        <v>11656.7</v>
      </c>
      <c r="O37" s="73">
        <v>30716.66</v>
      </c>
      <c r="P37">
        <v>743822.74000000011</v>
      </c>
      <c r="Q37"/>
    </row>
    <row r="38" spans="1:17" x14ac:dyDescent="0.25">
      <c r="A38" s="10">
        <v>2012</v>
      </c>
      <c r="B38" s="12">
        <v>428</v>
      </c>
      <c r="C38" s="13">
        <v>0</v>
      </c>
      <c r="D38" s="13">
        <v>11634.6</v>
      </c>
      <c r="E38" s="13">
        <v>10425</v>
      </c>
      <c r="F38" s="13">
        <v>10968.5</v>
      </c>
      <c r="G38" s="62">
        <v>21565</v>
      </c>
      <c r="H38" s="64">
        <v>22333.599999999999</v>
      </c>
      <c r="I38" s="64">
        <v>10325</v>
      </c>
      <c r="J38" s="64">
        <v>11152.18</v>
      </c>
      <c r="K38" s="67">
        <v>284531.59000000003</v>
      </c>
      <c r="L38" s="67">
        <v>2935.3700000000003</v>
      </c>
      <c r="M38" s="67">
        <v>118790.78</v>
      </c>
      <c r="N38" s="69">
        <v>158103.56</v>
      </c>
      <c r="O38" s="51">
        <v>0</v>
      </c>
      <c r="P38">
        <v>662765.17999999993</v>
      </c>
      <c r="Q38"/>
    </row>
    <row r="39" spans="1:17" x14ac:dyDescent="0.25">
      <c r="A39" s="10">
        <v>2011</v>
      </c>
      <c r="B39" s="12" t="s">
        <v>15</v>
      </c>
      <c r="C39" s="13">
        <v>335.75</v>
      </c>
      <c r="D39" s="13">
        <v>18393.900000000001</v>
      </c>
      <c r="E39" s="13">
        <v>231268.32</v>
      </c>
      <c r="F39" s="13">
        <v>118586.95</v>
      </c>
      <c r="G39" s="13">
        <v>23506.560000000001</v>
      </c>
      <c r="H39" s="13">
        <v>23387.43</v>
      </c>
      <c r="I39" s="13">
        <v>167701.13</v>
      </c>
      <c r="J39" s="13">
        <v>105510.75</v>
      </c>
      <c r="K39" s="13">
        <v>76185</v>
      </c>
      <c r="L39" s="13">
        <v>863292</v>
      </c>
      <c r="M39" s="30">
        <v>45806.71</v>
      </c>
      <c r="N39" s="30">
        <v>25980.07</v>
      </c>
      <c r="O39" s="31">
        <v>0</v>
      </c>
      <c r="P39" s="29">
        <v>1699954.57</v>
      </c>
      <c r="Q39"/>
    </row>
    <row r="40" spans="1:17" x14ac:dyDescent="0.25">
      <c r="A40" s="10">
        <v>2010</v>
      </c>
      <c r="B40" s="12" t="s">
        <v>15</v>
      </c>
      <c r="C40" s="13">
        <v>8919</v>
      </c>
      <c r="D40" s="13">
        <v>170936.65</v>
      </c>
      <c r="E40" s="13">
        <v>122239.01000000001</v>
      </c>
      <c r="F40" s="13">
        <v>86217.600000000006</v>
      </c>
      <c r="G40" s="13">
        <v>34336.920000000006</v>
      </c>
      <c r="H40" s="13">
        <v>10415.25</v>
      </c>
      <c r="I40" s="13">
        <v>156557.79999999999</v>
      </c>
      <c r="J40" s="13">
        <v>135423.38</v>
      </c>
      <c r="K40" s="13">
        <v>111221.24</v>
      </c>
      <c r="L40" s="30">
        <v>9417.5399999999991</v>
      </c>
      <c r="M40" s="30">
        <v>89233.489999999991</v>
      </c>
      <c r="N40" s="13">
        <v>112633.93</v>
      </c>
      <c r="O40" s="14">
        <v>0</v>
      </c>
      <c r="P40" s="29">
        <v>1047551.81</v>
      </c>
      <c r="Q40"/>
    </row>
    <row r="41" spans="1:17" ht="15.75" thickBot="1" x14ac:dyDescent="0.3">
      <c r="A41" s="15">
        <v>2009</v>
      </c>
      <c r="B41" s="16" t="s">
        <v>15</v>
      </c>
      <c r="C41" s="17">
        <v>576.97</v>
      </c>
      <c r="D41" s="17">
        <v>10276.85</v>
      </c>
      <c r="E41" s="17">
        <v>21119</v>
      </c>
      <c r="F41" s="17">
        <v>88000.76</v>
      </c>
      <c r="G41" s="17">
        <v>9156.44</v>
      </c>
      <c r="H41" s="17">
        <v>44829.919999999998</v>
      </c>
      <c r="I41" s="17">
        <v>242102.59</v>
      </c>
      <c r="J41" s="17">
        <v>208075.42</v>
      </c>
      <c r="K41" s="17">
        <v>103056.04</v>
      </c>
      <c r="L41" s="17">
        <v>77287.48</v>
      </c>
      <c r="M41" s="17">
        <v>140976.22999999998</v>
      </c>
      <c r="N41" s="17">
        <v>133332.23000000001</v>
      </c>
      <c r="O41" s="18">
        <v>1078789.9300000002</v>
      </c>
      <c r="P41" s="29">
        <f>SUM(C41:O41)</f>
        <v>2157579.8600000003</v>
      </c>
      <c r="Q41"/>
    </row>
    <row r="42" spans="1:17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6" spans="1:17" x14ac:dyDescent="0.25">
      <c r="D46" s="40" t="s">
        <v>127</v>
      </c>
    </row>
    <row r="47" spans="1:17" x14ac:dyDescent="0.25">
      <c r="C47"/>
      <c r="D47" s="40" t="s">
        <v>128</v>
      </c>
      <c r="E47" s="40" t="s">
        <v>129</v>
      </c>
    </row>
    <row r="48" spans="1:17" x14ac:dyDescent="0.25">
      <c r="C48" t="s">
        <v>31</v>
      </c>
      <c r="D48" s="75">
        <f>AVERAGE(C35:C36)</f>
        <v>0</v>
      </c>
      <c r="E48" s="27">
        <f>AVERAGE(C35:C37)</f>
        <v>0</v>
      </c>
    </row>
    <row r="49" spans="3:5" x14ac:dyDescent="0.25">
      <c r="C49" t="s">
        <v>33</v>
      </c>
      <c r="D49" s="75">
        <f>AVERAGE(D35:D36)</f>
        <v>58364.709999999992</v>
      </c>
      <c r="E49" s="27">
        <f>AVERAGE(D35:D37)</f>
        <v>93119.776666666658</v>
      </c>
    </row>
    <row r="50" spans="3:5" x14ac:dyDescent="0.25">
      <c r="C50" t="s">
        <v>34</v>
      </c>
      <c r="D50" s="75">
        <f>AVERAGE(E35:E36)</f>
        <v>16634.145</v>
      </c>
      <c r="E50" s="27">
        <f>AVERAGE(E35:E37)</f>
        <v>25146.196666666667</v>
      </c>
    </row>
    <row r="51" spans="3:5" x14ac:dyDescent="0.25">
      <c r="C51" t="s">
        <v>35</v>
      </c>
      <c r="D51" s="75">
        <f>AVERAGE(F35:F36)</f>
        <v>194136.63499999998</v>
      </c>
      <c r="E51" s="27">
        <f>AVERAGE(F35:F37)</f>
        <v>141718.61666666667</v>
      </c>
    </row>
    <row r="52" spans="3:5" x14ac:dyDescent="0.25">
      <c r="C52" t="s">
        <v>36</v>
      </c>
      <c r="D52" s="75">
        <f>AVERAGE(G35:G36)</f>
        <v>113967.76</v>
      </c>
      <c r="E52" s="63">
        <f>AVERAGE(G35:G37)</f>
        <v>83477.16333333333</v>
      </c>
    </row>
    <row r="53" spans="3:5" x14ac:dyDescent="0.25">
      <c r="C53" t="s">
        <v>37</v>
      </c>
      <c r="D53" s="75">
        <f>AVERAGE(H35:H36)</f>
        <v>59661.275000000001</v>
      </c>
      <c r="E53" s="27">
        <f>AVERAGE(H35:H37)</f>
        <v>54347.170000000006</v>
      </c>
    </row>
    <row r="54" spans="3:5" x14ac:dyDescent="0.25">
      <c r="C54" t="s">
        <v>38</v>
      </c>
      <c r="D54" s="75">
        <f>AVERAGE(I35:I36)</f>
        <v>26241.72</v>
      </c>
      <c r="E54" s="27">
        <f>AVERAGE(I35:I37)</f>
        <v>17494.48</v>
      </c>
    </row>
    <row r="55" spans="3:5" x14ac:dyDescent="0.25">
      <c r="C55" t="s">
        <v>39</v>
      </c>
      <c r="D55" s="75">
        <f>AVERAGE(J35:J36)</f>
        <v>5057.9400000000005</v>
      </c>
      <c r="E55" s="27">
        <f>AVERAGE(J35:J37)</f>
        <v>9770.1466666666693</v>
      </c>
    </row>
    <row r="56" spans="3:5" x14ac:dyDescent="0.25">
      <c r="C56" t="s">
        <v>40</v>
      </c>
      <c r="D56" s="75">
        <f>AVERAGE(K35:K36)</f>
        <v>177082.9</v>
      </c>
      <c r="E56" s="27">
        <f>AVERAGE(K35:K37)</f>
        <v>155171.69</v>
      </c>
    </row>
    <row r="57" spans="3:5" x14ac:dyDescent="0.25">
      <c r="C57" t="s">
        <v>41</v>
      </c>
      <c r="D57" s="75">
        <f>AVERAGE(L35:L36)</f>
        <v>131680.29499999998</v>
      </c>
      <c r="E57" s="27">
        <f>AVERAGE(L35:L37)</f>
        <v>88604.893333333326</v>
      </c>
    </row>
    <row r="58" spans="3:5" x14ac:dyDescent="0.25">
      <c r="C58" t="s">
        <v>42</v>
      </c>
      <c r="D58" s="75">
        <f>AVERAGE(M35:M36)</f>
        <v>135275.25</v>
      </c>
      <c r="E58" s="27">
        <f>AVERAGE(M35:M37)</f>
        <v>177034.74666666667</v>
      </c>
    </row>
    <row r="59" spans="3:5" x14ac:dyDescent="0.25">
      <c r="C59" t="s">
        <v>43</v>
      </c>
      <c r="D59" s="75">
        <f>AVERAGE(N35:N36)</f>
        <v>27632.100000000002</v>
      </c>
      <c r="E59" s="27">
        <f>AVERAGE(N35:N37)</f>
        <v>22306.966666666671</v>
      </c>
    </row>
    <row r="60" spans="3:5" x14ac:dyDescent="0.25">
      <c r="C60" t="s">
        <v>58</v>
      </c>
      <c r="D60" s="3">
        <v>0</v>
      </c>
      <c r="E60" s="27">
        <f>AVERAGE(O35:O37)</f>
        <v>10238.886666666667</v>
      </c>
    </row>
    <row r="61" spans="3:5" x14ac:dyDescent="0.25">
      <c r="C61"/>
      <c r="D61" s="27"/>
      <c r="E61"/>
    </row>
    <row r="62" spans="3:5" x14ac:dyDescent="0.25">
      <c r="C62"/>
      <c r="D62" s="3">
        <f>SUM(D48:D60)</f>
        <v>945734.72999999986</v>
      </c>
      <c r="E62" s="3">
        <f>SUM(E48:E60)</f>
        <v>878430.7333333334</v>
      </c>
    </row>
    <row r="63" spans="3:5" x14ac:dyDescent="0.25">
      <c r="C63"/>
      <c r="D63" s="27"/>
      <c r="E63" s="27"/>
    </row>
    <row r="64" spans="3:5" x14ac:dyDescent="0.25">
      <c r="C64"/>
      <c r="D64" s="27"/>
      <c r="E64" s="27"/>
    </row>
  </sheetData>
  <mergeCells count="4">
    <mergeCell ref="C6:N6"/>
    <mergeCell ref="P6:P8"/>
    <mergeCell ref="H7:O7"/>
    <mergeCell ref="C7:G7"/>
  </mergeCells>
  <pageMargins left="0.7" right="0.7" top="0.75" bottom="0.75" header="0.3" footer="0.3"/>
  <pageSetup scale="54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L39"/>
  <sheetViews>
    <sheetView workbookViewId="0">
      <selection activeCell="I12" sqref="I12"/>
    </sheetView>
  </sheetViews>
  <sheetFormatPr defaultRowHeight="16.5" x14ac:dyDescent="0.3"/>
  <cols>
    <col min="1" max="1" width="2.5703125" style="81" customWidth="1"/>
    <col min="2" max="2" width="11.5703125" style="81" customWidth="1"/>
    <col min="3" max="3" width="10.7109375" style="81" customWidth="1"/>
    <col min="4" max="4" width="10.42578125" style="81" customWidth="1"/>
    <col min="5" max="5" width="10.85546875" style="81" customWidth="1"/>
    <col min="6" max="6" width="12.85546875" style="81" customWidth="1"/>
    <col min="7" max="9" width="12.7109375" style="81" customWidth="1"/>
    <col min="10" max="10" width="2.85546875" style="81" customWidth="1"/>
    <col min="11" max="17" width="13.7109375" style="81" bestFit="1" customWidth="1"/>
    <col min="18" max="18" width="9.140625" style="81"/>
    <col min="19" max="19" width="14.7109375" style="81" bestFit="1" customWidth="1"/>
    <col min="20" max="16384" width="9.140625" style="81"/>
  </cols>
  <sheetData>
    <row r="1" spans="2:12" ht="23.25" x14ac:dyDescent="0.35">
      <c r="B1" s="80" t="s">
        <v>111</v>
      </c>
    </row>
    <row r="3" spans="2:12" ht="18.75" x14ac:dyDescent="0.3">
      <c r="B3" s="82" t="s">
        <v>153</v>
      </c>
    </row>
    <row r="4" spans="2:12" ht="18" x14ac:dyDescent="0.35">
      <c r="B4" s="83" t="s">
        <v>110</v>
      </c>
    </row>
    <row r="5" spans="2:12" ht="10.5" customHeight="1" thickBot="1" x14ac:dyDescent="0.35">
      <c r="D5" s="84"/>
      <c r="E5" s="84"/>
      <c r="F5" s="84"/>
      <c r="G5" s="84"/>
      <c r="H5" s="84"/>
    </row>
    <row r="6" spans="2:12" ht="44.25" customHeight="1" thickBot="1" x14ac:dyDescent="0.35">
      <c r="C6" s="85"/>
      <c r="D6" s="86" t="s">
        <v>109</v>
      </c>
      <c r="E6" s="86" t="s">
        <v>108</v>
      </c>
      <c r="F6" s="86" t="s">
        <v>113</v>
      </c>
      <c r="G6" s="86" t="s">
        <v>114</v>
      </c>
      <c r="H6" s="87" t="s">
        <v>32</v>
      </c>
      <c r="I6" s="88" t="s">
        <v>123</v>
      </c>
      <c r="J6" s="86"/>
    </row>
    <row r="7" spans="2:12" ht="17.25" customHeight="1" thickBot="1" x14ac:dyDescent="0.35">
      <c r="B7" s="89" t="s">
        <v>122</v>
      </c>
      <c r="C7" s="90"/>
      <c r="D7" s="91">
        <v>463059</v>
      </c>
      <c r="E7" s="91">
        <v>463059</v>
      </c>
      <c r="F7" s="91" t="s">
        <v>118</v>
      </c>
      <c r="G7" s="91" t="s">
        <v>118</v>
      </c>
      <c r="H7" s="91">
        <v>463059</v>
      </c>
      <c r="I7" s="92">
        <f>SUM(E7)</f>
        <v>463059</v>
      </c>
      <c r="J7" s="120"/>
    </row>
    <row r="8" spans="2:12" ht="17.25" customHeight="1" thickBot="1" x14ac:dyDescent="0.35">
      <c r="B8" s="93" t="s">
        <v>121</v>
      </c>
      <c r="C8" s="94"/>
      <c r="D8" s="95">
        <v>-400000</v>
      </c>
      <c r="E8" s="95">
        <v>-400000</v>
      </c>
      <c r="F8" s="95"/>
      <c r="G8" s="95"/>
      <c r="H8" s="96"/>
      <c r="I8" s="96">
        <f>SUM(E8)</f>
        <v>-400000</v>
      </c>
      <c r="J8" s="95"/>
    </row>
    <row r="9" spans="2:12" ht="17.25" customHeight="1" x14ac:dyDescent="0.3">
      <c r="B9" s="308" t="s">
        <v>59</v>
      </c>
      <c r="C9" s="97" t="s">
        <v>31</v>
      </c>
      <c r="D9" s="98">
        <f>'Rev Projections'!D36</f>
        <v>125478.5</v>
      </c>
      <c r="E9" s="99">
        <v>130974</v>
      </c>
      <c r="F9" s="99">
        <f>'R&amp;R Revenue Projections '!M21</f>
        <v>66950.83</v>
      </c>
      <c r="G9" s="81">
        <v>0</v>
      </c>
      <c r="H9" s="100">
        <f>H7+E9-G9</f>
        <v>594033</v>
      </c>
      <c r="I9" s="100">
        <f>SUM(I7:I8)+E9-G9</f>
        <v>194033</v>
      </c>
      <c r="J9" s="99"/>
    </row>
    <row r="10" spans="2:12" ht="15.75" customHeight="1" x14ac:dyDescent="0.3">
      <c r="B10" s="309"/>
      <c r="C10" s="97" t="s">
        <v>33</v>
      </c>
      <c r="D10" s="98">
        <f>'Rev Projections'!D37</f>
        <v>101655.5</v>
      </c>
      <c r="E10" s="99">
        <v>54504</v>
      </c>
      <c r="F10" s="99">
        <f>'R&amp;R Revenue Projections '!M22</f>
        <v>32075.83</v>
      </c>
      <c r="G10" s="99">
        <v>74700</v>
      </c>
      <c r="H10" s="100">
        <f t="shared" ref="H10:H20" si="0">H9+E10-G10</f>
        <v>573837</v>
      </c>
      <c r="I10" s="100">
        <f t="shared" ref="I10:I20" si="1">SUM(I9)+E10-G10</f>
        <v>173837</v>
      </c>
      <c r="J10" s="99"/>
    </row>
    <row r="11" spans="2:12" ht="15.75" customHeight="1" x14ac:dyDescent="0.3">
      <c r="B11" s="309"/>
      <c r="C11" s="97" t="s">
        <v>34</v>
      </c>
      <c r="D11" s="98">
        <f>'Rev Projections'!D38</f>
        <v>79025.5</v>
      </c>
      <c r="E11" s="99">
        <v>79470</v>
      </c>
      <c r="F11" s="99">
        <f>'R&amp;R Revenue Projections '!M23</f>
        <v>27075.83</v>
      </c>
      <c r="G11" s="99">
        <v>28085</v>
      </c>
      <c r="H11" s="100">
        <f t="shared" si="0"/>
        <v>625222</v>
      </c>
      <c r="I11" s="100">
        <f t="shared" si="1"/>
        <v>225222</v>
      </c>
      <c r="J11" s="99"/>
      <c r="L11" s="170"/>
    </row>
    <row r="12" spans="2:12" ht="15" customHeight="1" x14ac:dyDescent="0.3">
      <c r="B12" s="309"/>
      <c r="C12" s="97" t="s">
        <v>35</v>
      </c>
      <c r="D12" s="98">
        <f>'Rev Projections'!D39</f>
        <v>53436</v>
      </c>
      <c r="E12" s="99">
        <v>59420</v>
      </c>
      <c r="F12" s="99">
        <f>'R&amp;R Revenue Projections '!M24</f>
        <v>19770.830000000002</v>
      </c>
      <c r="G12" s="99">
        <v>29395</v>
      </c>
      <c r="H12" s="100">
        <f t="shared" si="0"/>
        <v>655247</v>
      </c>
      <c r="I12" s="100">
        <f t="shared" si="1"/>
        <v>255247</v>
      </c>
      <c r="J12" s="99"/>
    </row>
    <row r="13" spans="2:12" ht="15" customHeight="1" x14ac:dyDescent="0.3">
      <c r="B13" s="309"/>
      <c r="C13" s="101" t="s">
        <v>36</v>
      </c>
      <c r="D13" s="98">
        <f>'Rev Projections'!D40</f>
        <v>45183</v>
      </c>
      <c r="E13" s="99">
        <v>33232</v>
      </c>
      <c r="F13" s="99">
        <f>'R&amp;R Revenue Projections '!M25</f>
        <v>14770.83</v>
      </c>
      <c r="G13" s="99">
        <v>16477</v>
      </c>
      <c r="H13" s="100">
        <f t="shared" si="0"/>
        <v>672002</v>
      </c>
      <c r="I13" s="100">
        <f t="shared" si="1"/>
        <v>272002</v>
      </c>
      <c r="J13" s="99"/>
    </row>
    <row r="14" spans="2:12" ht="15" customHeight="1" x14ac:dyDescent="0.3">
      <c r="B14" s="309"/>
      <c r="C14" s="101" t="s">
        <v>37</v>
      </c>
      <c r="D14" s="98">
        <f>'Rev Projections'!D41</f>
        <v>87628.5</v>
      </c>
      <c r="E14" s="99">
        <v>165019</v>
      </c>
      <c r="F14" s="99">
        <f>'R&amp;R Revenue Projections '!M26</f>
        <v>89770.83</v>
      </c>
      <c r="G14" s="99">
        <v>15298</v>
      </c>
      <c r="H14" s="100">
        <f t="shared" si="0"/>
        <v>821723</v>
      </c>
      <c r="I14" s="100">
        <f t="shared" si="1"/>
        <v>421723</v>
      </c>
      <c r="J14" s="99"/>
    </row>
    <row r="15" spans="2:12" ht="15.75" customHeight="1" x14ac:dyDescent="0.3">
      <c r="B15" s="309"/>
      <c r="C15" s="101" t="s">
        <v>38</v>
      </c>
      <c r="D15" s="129">
        <f>'Rev Projections'!D42</f>
        <v>86771.5</v>
      </c>
      <c r="E15" s="102">
        <v>12744</v>
      </c>
      <c r="F15" s="141">
        <v>150000</v>
      </c>
      <c r="G15" s="102">
        <v>212317</v>
      </c>
      <c r="H15" s="100">
        <f t="shared" si="0"/>
        <v>622150</v>
      </c>
      <c r="I15" s="100">
        <f t="shared" si="1"/>
        <v>222150</v>
      </c>
      <c r="J15" s="99"/>
    </row>
    <row r="16" spans="2:12" ht="15.75" customHeight="1" x14ac:dyDescent="0.3">
      <c r="B16" s="309"/>
      <c r="C16" s="101" t="s">
        <v>39</v>
      </c>
      <c r="D16" s="98">
        <f>'Rev Projections'!D43</f>
        <v>5080.5</v>
      </c>
      <c r="E16" s="99">
        <v>6404</v>
      </c>
      <c r="F16" s="166">
        <v>5000</v>
      </c>
      <c r="G16" s="99">
        <v>693</v>
      </c>
      <c r="H16" s="100">
        <f t="shared" si="0"/>
        <v>627861</v>
      </c>
      <c r="I16" s="100">
        <f t="shared" si="1"/>
        <v>227861</v>
      </c>
      <c r="J16" s="99"/>
    </row>
    <row r="17" spans="2:10" ht="15" customHeight="1" x14ac:dyDescent="0.3">
      <c r="B17" s="309"/>
      <c r="C17" s="101" t="s">
        <v>40</v>
      </c>
      <c r="D17" s="98">
        <f>'Rev Projections'!D44</f>
        <v>14021</v>
      </c>
      <c r="E17" s="99">
        <v>111332</v>
      </c>
      <c r="F17" s="166">
        <v>0</v>
      </c>
      <c r="G17" s="99">
        <v>87210</v>
      </c>
      <c r="H17" s="100">
        <f t="shared" si="0"/>
        <v>651983</v>
      </c>
      <c r="I17" s="100">
        <f t="shared" si="1"/>
        <v>251983</v>
      </c>
      <c r="J17" s="99"/>
    </row>
    <row r="18" spans="2:10" ht="18" customHeight="1" x14ac:dyDescent="0.3">
      <c r="B18" s="309"/>
      <c r="C18" s="101" t="s">
        <v>41</v>
      </c>
      <c r="D18" s="98">
        <f>'Rev Projections'!D45</f>
        <v>73834</v>
      </c>
      <c r="E18" s="99">
        <v>575524</v>
      </c>
      <c r="F18" s="166">
        <v>411854.32</v>
      </c>
      <c r="G18" s="99">
        <v>302508</v>
      </c>
      <c r="H18" s="100">
        <f t="shared" si="0"/>
        <v>924999</v>
      </c>
      <c r="I18" s="100">
        <f t="shared" si="1"/>
        <v>524999</v>
      </c>
      <c r="J18" s="99"/>
    </row>
    <row r="19" spans="2:10" ht="18" customHeight="1" x14ac:dyDescent="0.3">
      <c r="B19" s="309"/>
      <c r="C19" s="101" t="s">
        <v>42</v>
      </c>
      <c r="D19" s="98">
        <f>'Rev Projections'!D46</f>
        <v>132453.5</v>
      </c>
      <c r="E19" s="99">
        <v>183695</v>
      </c>
      <c r="F19" s="99">
        <f>'R&amp;R Revenue Projections '!M31</f>
        <v>181365.33000000002</v>
      </c>
      <c r="G19" s="99">
        <v>66379</v>
      </c>
      <c r="H19" s="100">
        <f t="shared" si="0"/>
        <v>1042315</v>
      </c>
      <c r="I19" s="100">
        <f t="shared" si="1"/>
        <v>642315</v>
      </c>
      <c r="J19" s="99"/>
    </row>
    <row r="20" spans="2:10" ht="15" customHeight="1" x14ac:dyDescent="0.3">
      <c r="B20" s="309"/>
      <c r="C20" s="101" t="s">
        <v>43</v>
      </c>
      <c r="D20" s="98">
        <f>'Rev Projections'!D47</f>
        <v>181930.5</v>
      </c>
      <c r="E20" s="99">
        <v>395998</v>
      </c>
      <c r="F20" s="99">
        <v>36365.370000000003</v>
      </c>
      <c r="G20" s="102">
        <v>184058</v>
      </c>
      <c r="H20" s="100">
        <f t="shared" si="0"/>
        <v>1254255</v>
      </c>
      <c r="I20" s="100">
        <f t="shared" si="1"/>
        <v>854255</v>
      </c>
      <c r="J20" s="99"/>
    </row>
    <row r="21" spans="2:10" ht="22.5" customHeight="1" thickBot="1" x14ac:dyDescent="0.35">
      <c r="B21" s="310"/>
      <c r="C21" s="103" t="s">
        <v>58</v>
      </c>
      <c r="D21" s="104">
        <f>SUM('Rev Projections'!D48)</f>
        <v>0</v>
      </c>
      <c r="E21" s="105">
        <f>SUM('Rev Projections'!E48)</f>
        <v>0</v>
      </c>
      <c r="F21" s="105">
        <f>'Expense Scenarios'!O24</f>
        <v>0</v>
      </c>
      <c r="G21" s="105">
        <f>SUM('Expense Scenarios'!I30)</f>
        <v>0</v>
      </c>
      <c r="H21" s="106">
        <f>H20+D21-F21</f>
        <v>1254255</v>
      </c>
      <c r="I21" s="100">
        <f>SUM(I20)+E21-G21</f>
        <v>854255</v>
      </c>
      <c r="J21" s="99"/>
    </row>
    <row r="22" spans="2:10" ht="0.75" customHeight="1" thickBot="1" x14ac:dyDescent="0.35">
      <c r="B22" s="172"/>
      <c r="C22" s="107"/>
      <c r="D22" s="108"/>
      <c r="E22" s="109"/>
      <c r="F22" s="109"/>
      <c r="G22" s="109"/>
      <c r="H22" s="110">
        <f>H21+D22-F22</f>
        <v>1254255</v>
      </c>
      <c r="I22" s="100">
        <f>SUM(I21)+E22-G22</f>
        <v>854255</v>
      </c>
      <c r="J22" s="99"/>
    </row>
    <row r="23" spans="2:10" ht="17.25" thickBot="1" x14ac:dyDescent="0.35">
      <c r="C23" s="85"/>
      <c r="D23" s="111">
        <f>SUM(D9:D22)</f>
        <v>986498</v>
      </c>
      <c r="E23" s="128">
        <f>SUM(E9:E20)</f>
        <v>1808316</v>
      </c>
      <c r="F23" s="125">
        <f>SUM(F9:F20)</f>
        <v>1035000.0000000001</v>
      </c>
      <c r="G23" s="127">
        <f>SUM(G10:G22)</f>
        <v>1017120</v>
      </c>
      <c r="H23" s="171">
        <f>SUM(H21)</f>
        <v>1254255</v>
      </c>
      <c r="I23" s="126">
        <f>SUM(I21)</f>
        <v>854255</v>
      </c>
      <c r="J23" s="121"/>
    </row>
    <row r="24" spans="2:10" ht="17.25" thickTop="1" x14ac:dyDescent="0.3">
      <c r="D24" s="112"/>
      <c r="E24" s="113"/>
      <c r="F24" s="112"/>
      <c r="G24" s="112"/>
      <c r="H24" s="112"/>
    </row>
    <row r="25" spans="2:10" ht="20.25" customHeight="1" x14ac:dyDescent="0.3">
      <c r="B25" s="124" t="s">
        <v>124</v>
      </c>
      <c r="C25" s="123">
        <v>43676</v>
      </c>
      <c r="D25" s="115"/>
      <c r="E25" s="116"/>
      <c r="F25" s="116"/>
      <c r="G25" s="116"/>
      <c r="H25" s="116"/>
    </row>
    <row r="26" spans="2:10" x14ac:dyDescent="0.3">
      <c r="B26" s="122" t="s">
        <v>112</v>
      </c>
      <c r="C26" s="122"/>
      <c r="D26" s="97"/>
      <c r="E26" s="85"/>
      <c r="F26" s="85"/>
      <c r="G26" s="85"/>
      <c r="H26" s="85"/>
      <c r="I26" s="85"/>
    </row>
    <row r="27" spans="2:10" x14ac:dyDescent="0.3">
      <c r="B27" s="142" t="s">
        <v>169</v>
      </c>
      <c r="C27" s="142"/>
      <c r="D27" s="97"/>
      <c r="E27" s="101"/>
      <c r="F27" s="101"/>
      <c r="G27" s="97"/>
      <c r="H27" s="97"/>
      <c r="I27" s="85"/>
    </row>
    <row r="28" spans="2:10" ht="29.25" customHeight="1" x14ac:dyDescent="0.3">
      <c r="B28" s="307" t="s">
        <v>172</v>
      </c>
      <c r="C28" s="307"/>
      <c r="D28" s="307"/>
      <c r="E28" s="307"/>
      <c r="F28" s="307"/>
      <c r="G28" s="307"/>
      <c r="H28" s="307"/>
      <c r="I28" s="307"/>
    </row>
    <row r="29" spans="2:10" x14ac:dyDescent="0.3">
      <c r="B29" s="167" t="s">
        <v>130</v>
      </c>
      <c r="C29" s="168"/>
      <c r="D29" s="167"/>
      <c r="E29" s="169"/>
      <c r="F29" s="169"/>
      <c r="G29" s="169"/>
      <c r="H29" s="169"/>
      <c r="I29" s="85"/>
    </row>
    <row r="30" spans="2:10" ht="17.25" customHeight="1" x14ac:dyDescent="0.3">
      <c r="B30" s="306" t="s">
        <v>139</v>
      </c>
      <c r="C30" s="306"/>
      <c r="D30" s="306"/>
      <c r="E30" s="306"/>
      <c r="F30" s="306"/>
      <c r="G30" s="306"/>
      <c r="H30" s="306"/>
      <c r="I30" s="306"/>
      <c r="J30" s="119"/>
    </row>
    <row r="31" spans="2:10" ht="33" customHeight="1" x14ac:dyDescent="0.35">
      <c r="B31" s="305" t="s">
        <v>140</v>
      </c>
      <c r="C31" s="305"/>
      <c r="D31" s="305"/>
      <c r="E31" s="305"/>
      <c r="F31" s="305"/>
      <c r="G31" s="305"/>
      <c r="H31" s="305"/>
      <c r="I31" s="305"/>
      <c r="J31" s="118"/>
    </row>
    <row r="32" spans="2:10" ht="34.5" customHeight="1" x14ac:dyDescent="0.3"/>
    <row r="33" spans="2:4" x14ac:dyDescent="0.3">
      <c r="B33" s="117"/>
      <c r="C33" s="114"/>
      <c r="D33" s="117"/>
    </row>
    <row r="34" spans="2:4" x14ac:dyDescent="0.3">
      <c r="B34" s="117"/>
      <c r="C34" s="114"/>
      <c r="D34" s="117"/>
    </row>
    <row r="35" spans="2:4" x14ac:dyDescent="0.3">
      <c r="B35" s="117"/>
      <c r="C35" s="114"/>
      <c r="D35" s="117"/>
    </row>
    <row r="36" spans="2:4" x14ac:dyDescent="0.3">
      <c r="B36" s="117"/>
      <c r="C36" s="114"/>
      <c r="D36" s="117"/>
    </row>
    <row r="37" spans="2:4" x14ac:dyDescent="0.3">
      <c r="B37" s="117"/>
      <c r="C37" s="114"/>
      <c r="D37" s="117"/>
    </row>
    <row r="38" spans="2:4" x14ac:dyDescent="0.3">
      <c r="B38" s="117"/>
      <c r="C38" s="114"/>
      <c r="D38" s="117"/>
    </row>
    <row r="39" spans="2:4" x14ac:dyDescent="0.3">
      <c r="B39" s="117"/>
      <c r="C39" s="114"/>
      <c r="D39" s="117"/>
    </row>
  </sheetData>
  <mergeCells count="4">
    <mergeCell ref="B31:I31"/>
    <mergeCell ref="B30:I30"/>
    <mergeCell ref="B28:I28"/>
    <mergeCell ref="B9:B21"/>
  </mergeCells>
  <pageMargins left="0.25" right="0.25" top="0.75" bottom="0.75" header="0.3" footer="0.3"/>
  <pageSetup scale="98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8"/>
  <sheetViews>
    <sheetView workbookViewId="0">
      <selection activeCell="E8" sqref="E8:E19"/>
    </sheetView>
  </sheetViews>
  <sheetFormatPr defaultRowHeight="16.5" x14ac:dyDescent="0.3"/>
  <cols>
    <col min="1" max="1" width="14" style="81" customWidth="1"/>
    <col min="2" max="2" width="11.5703125" style="81" customWidth="1"/>
    <col min="3" max="3" width="10.7109375" style="81" customWidth="1"/>
    <col min="4" max="4" width="11.140625" style="81" customWidth="1"/>
    <col min="5" max="5" width="10.85546875" style="81" customWidth="1"/>
    <col min="6" max="6" width="12.85546875" style="81" customWidth="1"/>
    <col min="7" max="9" width="12.7109375" style="81" customWidth="1"/>
    <col min="10" max="10" width="2.85546875" style="81" customWidth="1"/>
    <col min="11" max="11" width="13.7109375" style="81" bestFit="1" customWidth="1"/>
    <col min="12" max="12" width="13.7109375" style="81" customWidth="1"/>
    <col min="13" max="16" width="13.7109375" style="81" bestFit="1" customWidth="1"/>
    <col min="17" max="17" width="9.140625" style="81"/>
    <col min="18" max="18" width="14.7109375" style="81" bestFit="1" customWidth="1"/>
    <col min="19" max="16384" width="9.140625" style="81"/>
  </cols>
  <sheetData>
    <row r="1" spans="2:10" ht="23.25" x14ac:dyDescent="0.35">
      <c r="B1" s="80" t="s">
        <v>111</v>
      </c>
    </row>
    <row r="3" spans="2:10" ht="18.75" x14ac:dyDescent="0.3">
      <c r="B3" s="82" t="s">
        <v>173</v>
      </c>
    </row>
    <row r="4" spans="2:10" ht="18.75" thickBot="1" x14ac:dyDescent="0.4">
      <c r="B4" s="83" t="s">
        <v>110</v>
      </c>
    </row>
    <row r="5" spans="2:10" ht="44.25" customHeight="1" thickBot="1" x14ac:dyDescent="0.35">
      <c r="C5" s="85"/>
      <c r="D5" s="86" t="s">
        <v>109</v>
      </c>
      <c r="E5" s="86" t="s">
        <v>108</v>
      </c>
      <c r="F5" s="86" t="s">
        <v>113</v>
      </c>
      <c r="G5" s="86" t="s">
        <v>114</v>
      </c>
      <c r="H5" s="87" t="s">
        <v>32</v>
      </c>
      <c r="I5" s="88" t="s">
        <v>123</v>
      </c>
      <c r="J5" s="86"/>
    </row>
    <row r="6" spans="2:10" ht="17.25" customHeight="1" thickBot="1" x14ac:dyDescent="0.35">
      <c r="B6" s="181" t="s">
        <v>122</v>
      </c>
      <c r="C6" s="186"/>
      <c r="D6" s="199">
        <v>1254256</v>
      </c>
      <c r="E6" s="199">
        <v>1254256</v>
      </c>
      <c r="F6" s="91" t="s">
        <v>118</v>
      </c>
      <c r="G6" s="187" t="s">
        <v>118</v>
      </c>
      <c r="H6" s="199">
        <v>1254256</v>
      </c>
      <c r="I6" s="200">
        <f>SUM(E6)</f>
        <v>1254256</v>
      </c>
      <c r="J6" s="120"/>
    </row>
    <row r="7" spans="2:10" ht="17.25" customHeight="1" thickBot="1" x14ac:dyDescent="0.35">
      <c r="B7" s="182" t="s">
        <v>121</v>
      </c>
      <c r="C7" s="188"/>
      <c r="D7" s="95">
        <v>-400000</v>
      </c>
      <c r="E7" s="95">
        <v>-400000</v>
      </c>
      <c r="F7" s="95"/>
      <c r="G7" s="183"/>
      <c r="H7" s="183"/>
      <c r="I7" s="96">
        <f>SUM(E7)</f>
        <v>-400000</v>
      </c>
      <c r="J7" s="95"/>
    </row>
    <row r="8" spans="2:10" ht="17.25" customHeight="1" x14ac:dyDescent="0.3">
      <c r="B8" s="313" t="s">
        <v>59</v>
      </c>
      <c r="C8" s="189" t="s">
        <v>31</v>
      </c>
      <c r="D8" s="98">
        <f>'Rev Projections'!K36</f>
        <v>256639</v>
      </c>
      <c r="E8" s="99">
        <v>295086</v>
      </c>
      <c r="F8" s="141">
        <f>'FY20 Estimated Expenditures'!O5</f>
        <v>506164.58</v>
      </c>
      <c r="G8" s="198">
        <v>814</v>
      </c>
      <c r="H8" s="191">
        <f>H6+E8-G8</f>
        <v>1548528</v>
      </c>
      <c r="I8" s="100">
        <f>SUM(I6:I7)+E8-G8</f>
        <v>1148528</v>
      </c>
      <c r="J8" s="99"/>
    </row>
    <row r="9" spans="2:10" ht="15.75" customHeight="1" x14ac:dyDescent="0.3">
      <c r="B9" s="314"/>
      <c r="C9" s="189" t="s">
        <v>33</v>
      </c>
      <c r="D9" s="98">
        <f>'Rev Projections'!K37</f>
        <v>146633</v>
      </c>
      <c r="E9" s="99">
        <v>227043</v>
      </c>
      <c r="F9" s="102">
        <f>'FY20 Estimated Expenditures'!O6</f>
        <v>33884.58</v>
      </c>
      <c r="G9" s="185">
        <v>509537</v>
      </c>
      <c r="H9" s="191">
        <f>H8+E9-G9</f>
        <v>1266034</v>
      </c>
      <c r="I9" s="100">
        <f>SUM(I8)+E9-G9</f>
        <v>866034</v>
      </c>
      <c r="J9" s="99"/>
    </row>
    <row r="10" spans="2:10" ht="15.75" customHeight="1" x14ac:dyDescent="0.3">
      <c r="B10" s="314"/>
      <c r="C10" s="189" t="s">
        <v>34</v>
      </c>
      <c r="D10" s="98">
        <f>'Rev Projections'!K38</f>
        <v>164825</v>
      </c>
      <c r="E10" s="99">
        <v>203181</v>
      </c>
      <c r="F10" s="102">
        <f>'FY20 Estimated Expenditures'!O7</f>
        <v>28884.58</v>
      </c>
      <c r="G10" s="185">
        <v>30099</v>
      </c>
      <c r="H10" s="191">
        <f>H9+E10-G10</f>
        <v>1439116</v>
      </c>
      <c r="I10" s="100">
        <f>SUM(I9)+E10-G10</f>
        <v>1039116</v>
      </c>
      <c r="J10" s="99"/>
    </row>
    <row r="11" spans="2:10" ht="15" customHeight="1" x14ac:dyDescent="0.3">
      <c r="B11" s="314"/>
      <c r="C11" s="189" t="s">
        <v>35</v>
      </c>
      <c r="D11" s="98">
        <f>'Rev Projections'!K39</f>
        <v>101714</v>
      </c>
      <c r="E11" s="99">
        <v>118563</v>
      </c>
      <c r="F11" s="102">
        <f>'FY20 Estimated Expenditures'!O8</f>
        <v>133884.58000000002</v>
      </c>
      <c r="G11" s="185">
        <v>30389</v>
      </c>
      <c r="H11" s="191">
        <f>H10+E11-G11</f>
        <v>1527290</v>
      </c>
      <c r="I11" s="100">
        <f>SUM(I10)+E11-G11</f>
        <v>1127290</v>
      </c>
      <c r="J11" s="99"/>
    </row>
    <row r="12" spans="2:10" ht="15" customHeight="1" x14ac:dyDescent="0.3">
      <c r="B12" s="314"/>
      <c r="C12" s="190" t="s">
        <v>36</v>
      </c>
      <c r="D12" s="98">
        <f>'Rev Projections'!K40</f>
        <v>88223</v>
      </c>
      <c r="E12" s="99">
        <v>98028</v>
      </c>
      <c r="F12" s="102">
        <f>'FY20 Estimated Expenditures'!O9</f>
        <v>181184.58000000002</v>
      </c>
      <c r="G12" s="185">
        <v>32322</v>
      </c>
      <c r="H12" s="191">
        <f>H11+E12-G12</f>
        <v>1592996</v>
      </c>
      <c r="I12" s="100">
        <f>SUM(I11)+E12-G12</f>
        <v>1192996</v>
      </c>
      <c r="J12" s="99"/>
    </row>
    <row r="13" spans="2:10" ht="15" customHeight="1" x14ac:dyDescent="0.3">
      <c r="B13" s="314"/>
      <c r="C13" s="190" t="s">
        <v>37</v>
      </c>
      <c r="D13" s="98">
        <f>'Rev Projections'!K41</f>
        <v>175982</v>
      </c>
      <c r="E13" s="99">
        <v>306945</v>
      </c>
      <c r="F13" s="102">
        <f>'FY20 Estimated Expenditures'!O10</f>
        <v>46764.58</v>
      </c>
      <c r="G13" s="185">
        <v>282572</v>
      </c>
      <c r="H13" s="191">
        <f t="shared" ref="H13:H20" si="0">H12+E13-G13</f>
        <v>1617369</v>
      </c>
      <c r="I13" s="100">
        <f t="shared" ref="I13:I20" si="1">SUM(I12)+E13-G13</f>
        <v>1217369</v>
      </c>
      <c r="J13" s="99"/>
    </row>
    <row r="14" spans="2:10" ht="15.75" customHeight="1" x14ac:dyDescent="0.3">
      <c r="B14" s="314"/>
      <c r="C14" s="190" t="s">
        <v>38</v>
      </c>
      <c r="D14" s="98">
        <f>'Rev Projections'!K42</f>
        <v>169134</v>
      </c>
      <c r="E14" s="102">
        <v>25399</v>
      </c>
      <c r="F14" s="102">
        <f>'FY20 Estimated Expenditures'!O11</f>
        <v>176347.83000000002</v>
      </c>
      <c r="G14" s="191">
        <v>42460</v>
      </c>
      <c r="H14" s="191">
        <f t="shared" si="0"/>
        <v>1600308</v>
      </c>
      <c r="I14" s="100">
        <f t="shared" si="1"/>
        <v>1200308</v>
      </c>
      <c r="J14" s="99"/>
    </row>
    <row r="15" spans="2:10" ht="15.75" customHeight="1" x14ac:dyDescent="0.3">
      <c r="B15" s="314"/>
      <c r="C15" s="190" t="s">
        <v>39</v>
      </c>
      <c r="D15" s="98">
        <f>'Rev Projections'!K43</f>
        <v>6570</v>
      </c>
      <c r="E15" s="99">
        <v>15436</v>
      </c>
      <c r="F15" s="141">
        <f>'FY20 Estimated Expenditures'!O12</f>
        <v>814692.83</v>
      </c>
      <c r="G15" s="185">
        <v>516</v>
      </c>
      <c r="H15" s="191">
        <f t="shared" si="0"/>
        <v>1615228</v>
      </c>
      <c r="I15" s="100">
        <f t="shared" si="1"/>
        <v>1215228</v>
      </c>
      <c r="J15" s="99"/>
    </row>
    <row r="16" spans="2:10" ht="15" customHeight="1" x14ac:dyDescent="0.3">
      <c r="B16" s="314"/>
      <c r="C16" s="190" t="s">
        <v>40</v>
      </c>
      <c r="D16" s="98">
        <f>'Rev Projections'!K44</f>
        <v>60554</v>
      </c>
      <c r="E16" s="99">
        <v>183846</v>
      </c>
      <c r="F16" s="102">
        <f>'FY20 Estimated Expenditures'!O13</f>
        <v>58297.83</v>
      </c>
      <c r="G16" s="185">
        <v>927748</v>
      </c>
      <c r="H16" s="191">
        <f t="shared" si="0"/>
        <v>871326</v>
      </c>
      <c r="I16" s="100">
        <f t="shared" si="1"/>
        <v>471326</v>
      </c>
      <c r="J16" s="99"/>
    </row>
    <row r="17" spans="2:11" ht="18" customHeight="1" x14ac:dyDescent="0.3">
      <c r="B17" s="314"/>
      <c r="C17" s="190" t="s">
        <v>41</v>
      </c>
      <c r="D17" s="98">
        <f>'Rev Projections'!K45</f>
        <v>296668</v>
      </c>
      <c r="E17" s="99">
        <v>503787</v>
      </c>
      <c r="F17" s="102">
        <f>'FY20 Estimated Expenditures'!O14</f>
        <v>53297.83</v>
      </c>
      <c r="G17" s="185">
        <v>59295</v>
      </c>
      <c r="H17" s="191">
        <f t="shared" si="0"/>
        <v>1315818</v>
      </c>
      <c r="I17" s="100">
        <f t="shared" si="1"/>
        <v>915818</v>
      </c>
      <c r="J17" s="99"/>
    </row>
    <row r="18" spans="2:11" ht="18" customHeight="1" x14ac:dyDescent="0.3">
      <c r="B18" s="314"/>
      <c r="C18" s="190" t="s">
        <v>42</v>
      </c>
      <c r="D18" s="98">
        <f>'Rev Projections'!K46</f>
        <v>266353.5</v>
      </c>
      <c r="E18" s="99">
        <v>287897</v>
      </c>
      <c r="F18" s="102">
        <f>'FY20 Estimated Expenditures'!O15</f>
        <v>43297.83</v>
      </c>
      <c r="G18" s="185">
        <v>83070</v>
      </c>
      <c r="H18" s="191">
        <f t="shared" si="0"/>
        <v>1520645</v>
      </c>
      <c r="I18" s="100">
        <f t="shared" si="1"/>
        <v>1120645</v>
      </c>
      <c r="J18" s="99"/>
    </row>
    <row r="19" spans="2:11" ht="15" customHeight="1" x14ac:dyDescent="0.3">
      <c r="B19" s="314"/>
      <c r="C19" s="190" t="s">
        <v>43</v>
      </c>
      <c r="D19" s="98">
        <f>'Rev Projections'!K47</f>
        <v>391567</v>
      </c>
      <c r="E19" s="99">
        <v>518770</v>
      </c>
      <c r="F19" s="102">
        <f>'FY20 Estimated Expenditures'!O16</f>
        <v>48298.369999999995</v>
      </c>
      <c r="G19" s="191">
        <v>125243</v>
      </c>
      <c r="H19" s="191">
        <f t="shared" si="0"/>
        <v>1914172</v>
      </c>
      <c r="I19" s="100">
        <f t="shared" si="1"/>
        <v>1514172</v>
      </c>
      <c r="J19" s="99"/>
    </row>
    <row r="20" spans="2:11" ht="22.5" customHeight="1" thickBot="1" x14ac:dyDescent="0.35">
      <c r="B20" s="314"/>
      <c r="C20" s="192" t="s">
        <v>58</v>
      </c>
      <c r="D20" s="104">
        <f>SUM('Rev Projections'!D48)</f>
        <v>0</v>
      </c>
      <c r="E20" s="105">
        <f>SUM('Rev Projections'!E48)</f>
        <v>0</v>
      </c>
      <c r="F20" s="105">
        <f>'Expense Scenarios'!O24</f>
        <v>0</v>
      </c>
      <c r="G20" s="193">
        <v>4043</v>
      </c>
      <c r="H20" s="191">
        <f t="shared" si="0"/>
        <v>1910129</v>
      </c>
      <c r="I20" s="100">
        <f t="shared" si="1"/>
        <v>1510129</v>
      </c>
      <c r="J20" s="99"/>
    </row>
    <row r="21" spans="2:11" ht="0.75" customHeight="1" thickBot="1" x14ac:dyDescent="0.35">
      <c r="B21" s="205"/>
      <c r="C21" s="107"/>
      <c r="D21" s="108"/>
      <c r="E21" s="109"/>
      <c r="F21" s="109"/>
      <c r="G21" s="109"/>
      <c r="H21" s="110">
        <f>H20+D21-F21</f>
        <v>1910129</v>
      </c>
      <c r="I21" s="100">
        <f>SUM(I20)+E21-G21</f>
        <v>1510129</v>
      </c>
      <c r="J21" s="99"/>
    </row>
    <row r="22" spans="2:11" ht="17.25" thickBot="1" x14ac:dyDescent="0.35">
      <c r="C22" s="85"/>
      <c r="D22" s="111">
        <f>SUM(D8:D21)</f>
        <v>2124862.5</v>
      </c>
      <c r="E22" s="128">
        <f>SUM(E8:E19)</f>
        <v>2783981</v>
      </c>
      <c r="F22" s="125">
        <f>SUM(F8:F19)</f>
        <v>2125000.0000000005</v>
      </c>
      <c r="G22" s="127">
        <f>SUM(G8:G20)</f>
        <v>2128108</v>
      </c>
      <c r="H22" s="171">
        <f>SUM(H20)</f>
        <v>1910129</v>
      </c>
      <c r="I22" s="126">
        <f>SUM(I20)</f>
        <v>1510129</v>
      </c>
      <c r="J22" s="121"/>
    </row>
    <row r="23" spans="2:11" ht="16.5" customHeight="1" thickTop="1" x14ac:dyDescent="0.3">
      <c r="B23" s="124" t="s">
        <v>124</v>
      </c>
      <c r="C23" s="123">
        <v>44049</v>
      </c>
      <c r="D23" s="210"/>
      <c r="E23" s="211"/>
      <c r="F23" s="211"/>
      <c r="G23" s="211"/>
      <c r="H23" s="211"/>
      <c r="I23" s="85"/>
      <c r="J23" s="85"/>
      <c r="K23" s="85"/>
    </row>
    <row r="24" spans="2:11" ht="16.5" customHeight="1" x14ac:dyDescent="0.3">
      <c r="B24" s="122" t="s">
        <v>112</v>
      </c>
      <c r="C24" s="122"/>
      <c r="D24" s="97"/>
      <c r="E24" s="85"/>
      <c r="F24" s="85"/>
      <c r="G24" s="85"/>
      <c r="H24" s="85"/>
      <c r="I24" s="85"/>
      <c r="J24" s="85"/>
      <c r="K24" s="85"/>
    </row>
    <row r="25" spans="2:11" ht="16.5" customHeight="1" x14ac:dyDescent="0.3">
      <c r="B25" s="85" t="s">
        <v>208</v>
      </c>
      <c r="C25" s="85"/>
      <c r="D25" s="85"/>
      <c r="E25" s="85"/>
      <c r="F25" s="101"/>
      <c r="G25" s="97"/>
      <c r="H25" s="97"/>
      <c r="I25" s="85"/>
      <c r="J25" s="85"/>
      <c r="K25" s="85"/>
    </row>
    <row r="26" spans="2:11" ht="16.5" customHeight="1" x14ac:dyDescent="0.3">
      <c r="B26" s="195" t="s">
        <v>184</v>
      </c>
      <c r="C26" s="195"/>
      <c r="D26" s="195"/>
      <c r="E26" s="195"/>
      <c r="F26" s="207"/>
      <c r="G26" s="207"/>
      <c r="H26" s="207"/>
      <c r="I26" s="207"/>
      <c r="J26" s="85"/>
      <c r="K26" s="85"/>
    </row>
    <row r="27" spans="2:11" ht="16.5" customHeight="1" x14ac:dyDescent="0.3">
      <c r="B27" s="167" t="s">
        <v>130</v>
      </c>
      <c r="C27" s="168"/>
      <c r="D27" s="167"/>
      <c r="E27" s="169"/>
      <c r="F27" s="169"/>
      <c r="G27" s="169"/>
      <c r="H27" s="169"/>
      <c r="I27" s="85"/>
      <c r="J27" s="85"/>
      <c r="K27" s="85"/>
    </row>
    <row r="28" spans="2:11" ht="16.5" customHeight="1" x14ac:dyDescent="0.3">
      <c r="B28" s="311" t="s">
        <v>190</v>
      </c>
      <c r="C28" s="311"/>
      <c r="D28" s="311"/>
      <c r="E28" s="311"/>
      <c r="F28" s="311"/>
      <c r="G28" s="311"/>
      <c r="H28" s="311"/>
      <c r="I28" s="311"/>
      <c r="J28" s="311"/>
      <c r="K28" s="311"/>
    </row>
    <row r="29" spans="2:11" ht="16.5" customHeight="1" x14ac:dyDescent="0.3">
      <c r="B29" s="311" t="s">
        <v>191</v>
      </c>
      <c r="C29" s="311"/>
      <c r="D29" s="311"/>
      <c r="E29" s="208"/>
      <c r="F29" s="208"/>
      <c r="G29" s="208"/>
      <c r="H29" s="208"/>
      <c r="I29" s="208"/>
      <c r="J29" s="208"/>
      <c r="K29" s="208"/>
    </row>
    <row r="30" spans="2:11" ht="16.5" customHeight="1" x14ac:dyDescent="0.3">
      <c r="B30" s="312" t="s">
        <v>140</v>
      </c>
      <c r="C30" s="312"/>
      <c r="D30" s="312"/>
      <c r="E30" s="312"/>
      <c r="F30" s="312"/>
      <c r="G30" s="312"/>
      <c r="H30" s="312"/>
      <c r="I30" s="312"/>
      <c r="J30" s="312"/>
      <c r="K30" s="312"/>
    </row>
    <row r="31" spans="2:11" ht="34.5" customHeight="1" x14ac:dyDescent="0.3"/>
    <row r="32" spans="2:11" x14ac:dyDescent="0.3">
      <c r="B32" s="117"/>
      <c r="C32" s="114"/>
      <c r="D32" s="117"/>
    </row>
    <row r="33" spans="2:4" x14ac:dyDescent="0.3">
      <c r="B33" s="117"/>
      <c r="C33" s="114"/>
      <c r="D33" s="117"/>
    </row>
    <row r="34" spans="2:4" x14ac:dyDescent="0.3">
      <c r="B34" s="117"/>
      <c r="C34" s="114"/>
      <c r="D34" s="117"/>
    </row>
    <row r="35" spans="2:4" x14ac:dyDescent="0.3">
      <c r="B35" s="117"/>
      <c r="C35" s="114"/>
      <c r="D35" s="117"/>
    </row>
    <row r="36" spans="2:4" x14ac:dyDescent="0.3">
      <c r="B36" s="117"/>
      <c r="C36" s="114"/>
      <c r="D36" s="117"/>
    </row>
    <row r="37" spans="2:4" x14ac:dyDescent="0.3">
      <c r="B37" s="117"/>
      <c r="C37" s="114"/>
      <c r="D37" s="117"/>
    </row>
    <row r="38" spans="2:4" x14ac:dyDescent="0.3">
      <c r="B38" s="117"/>
      <c r="C38" s="114"/>
      <c r="D38" s="117"/>
    </row>
  </sheetData>
  <mergeCells count="4">
    <mergeCell ref="B28:K28"/>
    <mergeCell ref="B30:K30"/>
    <mergeCell ref="B29:D29"/>
    <mergeCell ref="B8:B20"/>
  </mergeCells>
  <pageMargins left="0.25" right="0.25" top="0.75" bottom="0.75" header="0.3" footer="0.3"/>
  <pageSetup fitToWidth="0" fitToHeight="0" orientation="landscape" r:id="rId1"/>
  <ignoredErrors>
    <ignoredError sqref="H9:I9" formula="1"/>
    <ignoredError sqref="E22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8"/>
  <sheetViews>
    <sheetView zoomScale="80" zoomScaleNormal="80" workbookViewId="0">
      <selection activeCell="I22" sqref="I22"/>
    </sheetView>
  </sheetViews>
  <sheetFormatPr defaultRowHeight="16.5" x14ac:dyDescent="0.3"/>
  <cols>
    <col min="1" max="1" width="14" style="81" customWidth="1"/>
    <col min="2" max="2" width="11.5703125" style="81" customWidth="1"/>
    <col min="3" max="3" width="10.7109375" style="81" customWidth="1"/>
    <col min="4" max="4" width="11.140625" style="81" customWidth="1"/>
    <col min="5" max="5" width="10.85546875" style="81" customWidth="1"/>
    <col min="6" max="6" width="14.28515625" style="81" customWidth="1"/>
    <col min="7" max="7" width="14" style="170" customWidth="1"/>
    <col min="8" max="9" width="12.7109375" style="81" customWidth="1"/>
    <col min="10" max="10" width="2.85546875" style="81" customWidth="1"/>
    <col min="11" max="11" width="13.7109375" style="81" bestFit="1" customWidth="1"/>
    <col min="12" max="12" width="13.7109375" style="81" customWidth="1"/>
    <col min="13" max="16" width="13.7109375" style="81" bestFit="1" customWidth="1"/>
    <col min="17" max="17" width="9.140625" style="81"/>
    <col min="18" max="18" width="14.7109375" style="81" bestFit="1" customWidth="1"/>
    <col min="19" max="16384" width="9.140625" style="81"/>
  </cols>
  <sheetData>
    <row r="1" spans="2:10" ht="23.25" x14ac:dyDescent="0.35">
      <c r="B1" s="80" t="s">
        <v>111</v>
      </c>
    </row>
    <row r="2" spans="2:10" ht="9" customHeight="1" x14ac:dyDescent="0.3"/>
    <row r="3" spans="2:10" ht="18.75" x14ac:dyDescent="0.3">
      <c r="B3" s="212" t="s">
        <v>209</v>
      </c>
    </row>
    <row r="4" spans="2:10" ht="16.5" customHeight="1" thickBot="1" x14ac:dyDescent="0.4">
      <c r="B4" s="83" t="s">
        <v>110</v>
      </c>
    </row>
    <row r="5" spans="2:10" ht="47.25" customHeight="1" thickBot="1" x14ac:dyDescent="0.35">
      <c r="B5" s="233"/>
      <c r="C5" s="234"/>
      <c r="D5" s="229" t="s">
        <v>109</v>
      </c>
      <c r="E5" s="229" t="s">
        <v>108</v>
      </c>
      <c r="F5" s="229" t="s">
        <v>113</v>
      </c>
      <c r="G5" s="230" t="s">
        <v>114</v>
      </c>
      <c r="H5" s="231" t="s">
        <v>32</v>
      </c>
      <c r="I5" s="232" t="s">
        <v>123</v>
      </c>
      <c r="J5" s="86"/>
    </row>
    <row r="6" spans="2:10" ht="17.25" customHeight="1" thickBot="1" x14ac:dyDescent="0.35">
      <c r="B6" s="181" t="s">
        <v>122</v>
      </c>
      <c r="C6" s="186"/>
      <c r="D6" s="199">
        <v>1910127</v>
      </c>
      <c r="E6" s="199">
        <v>1910127</v>
      </c>
      <c r="F6" s="91" t="s">
        <v>118</v>
      </c>
      <c r="G6" s="187" t="s">
        <v>118</v>
      </c>
      <c r="H6" s="199">
        <v>1910127</v>
      </c>
      <c r="I6" s="228">
        <f>SUM(E6)</f>
        <v>1910127</v>
      </c>
      <c r="J6" s="120"/>
    </row>
    <row r="7" spans="2:10" ht="17.25" customHeight="1" thickBot="1" x14ac:dyDescent="0.35">
      <c r="B7" s="182" t="s">
        <v>121</v>
      </c>
      <c r="C7" s="188"/>
      <c r="D7" s="95">
        <v>-400000</v>
      </c>
      <c r="E7" s="95">
        <v>-400000</v>
      </c>
      <c r="F7" s="95"/>
      <c r="G7" s="183"/>
      <c r="H7" s="183"/>
      <c r="I7" s="96">
        <f>SUM(E7)</f>
        <v>-400000</v>
      </c>
      <c r="J7" s="95"/>
    </row>
    <row r="8" spans="2:10" ht="17.25" customHeight="1" x14ac:dyDescent="0.3">
      <c r="B8" s="308" t="s">
        <v>59</v>
      </c>
      <c r="C8" s="189" t="s">
        <v>31</v>
      </c>
      <c r="D8" s="98">
        <v>278517</v>
      </c>
      <c r="E8" s="99">
        <f>'[1]FY 20-21'!$C$18</f>
        <v>277852.5</v>
      </c>
      <c r="F8" s="141">
        <v>529004.49</v>
      </c>
      <c r="G8" s="185">
        <f>'[1]FY 20-21'!$C$49</f>
        <v>406683.24</v>
      </c>
      <c r="H8" s="191">
        <f>H6+E8-G8</f>
        <v>1781296.26</v>
      </c>
      <c r="I8" s="100">
        <f>SUM(I6:I7)+E8-G8</f>
        <v>1381296.26</v>
      </c>
      <c r="J8" s="99"/>
    </row>
    <row r="9" spans="2:10" ht="15.75" customHeight="1" x14ac:dyDescent="0.3">
      <c r="B9" s="309"/>
      <c r="C9" s="189" t="s">
        <v>33</v>
      </c>
      <c r="D9" s="98">
        <v>168025.5</v>
      </c>
      <c r="E9" s="99">
        <f>'[1]FY 20-21'!$D$18</f>
        <v>348065</v>
      </c>
      <c r="F9" s="102">
        <v>84754.49</v>
      </c>
      <c r="G9" s="185">
        <f>'[1]FY 20-21'!$D$49</f>
        <v>171165.44999999998</v>
      </c>
      <c r="H9" s="191">
        <f>H8+E9-G9</f>
        <v>1958195.8099999998</v>
      </c>
      <c r="I9" s="100">
        <f>SUM(I8)+E9-G9</f>
        <v>1558195.81</v>
      </c>
      <c r="J9" s="99"/>
    </row>
    <row r="10" spans="2:10" ht="15.75" customHeight="1" x14ac:dyDescent="0.3">
      <c r="B10" s="309"/>
      <c r="C10" s="189" t="s">
        <v>34</v>
      </c>
      <c r="D10" s="98">
        <v>181060.25</v>
      </c>
      <c r="E10" s="99">
        <f>'[1]FY 20-21'!$E$18</f>
        <v>202965</v>
      </c>
      <c r="F10" s="102">
        <v>124204.49</v>
      </c>
      <c r="G10" s="185">
        <v>171620</v>
      </c>
      <c r="H10" s="191">
        <f t="shared" ref="H10:H20" si="0">H9+E10-G10</f>
        <v>1989540.8099999996</v>
      </c>
      <c r="I10" s="100">
        <f t="shared" ref="I10:I19" si="1">SUM(I9)+E10-G10</f>
        <v>1589540.81</v>
      </c>
      <c r="J10" s="99"/>
    </row>
    <row r="11" spans="2:10" ht="15" customHeight="1" x14ac:dyDescent="0.3">
      <c r="B11" s="309"/>
      <c r="C11" s="189" t="s">
        <v>35</v>
      </c>
      <c r="D11" s="98">
        <v>118701.25</v>
      </c>
      <c r="E11" s="99">
        <v>116526</v>
      </c>
      <c r="F11" s="102">
        <v>53964.490000000005</v>
      </c>
      <c r="G11" s="185">
        <v>94026</v>
      </c>
      <c r="H11" s="191">
        <f t="shared" si="0"/>
        <v>2012040.8099999996</v>
      </c>
      <c r="I11" s="100">
        <f t="shared" si="1"/>
        <v>1612040.81</v>
      </c>
      <c r="J11" s="99"/>
    </row>
    <row r="12" spans="2:10" ht="15" customHeight="1" x14ac:dyDescent="0.3">
      <c r="B12" s="309"/>
      <c r="C12" s="190" t="s">
        <v>36</v>
      </c>
      <c r="D12" s="98">
        <v>82245.75</v>
      </c>
      <c r="E12" s="99">
        <v>91825</v>
      </c>
      <c r="F12" s="102">
        <v>99134.49</v>
      </c>
      <c r="G12" s="185">
        <v>47018</v>
      </c>
      <c r="H12" s="191">
        <f t="shared" si="0"/>
        <v>2056847.8099999996</v>
      </c>
      <c r="I12" s="100">
        <f t="shared" si="1"/>
        <v>1656847.81</v>
      </c>
      <c r="J12" s="99"/>
    </row>
    <row r="13" spans="2:10" ht="15" customHeight="1" x14ac:dyDescent="0.3">
      <c r="B13" s="309"/>
      <c r="C13" s="190" t="s">
        <v>37</v>
      </c>
      <c r="D13" s="98">
        <v>318491.375</v>
      </c>
      <c r="E13" s="99">
        <v>318420</v>
      </c>
      <c r="F13" s="141">
        <v>864134.49</v>
      </c>
      <c r="G13" s="185">
        <v>841011</v>
      </c>
      <c r="H13" s="191">
        <f t="shared" si="0"/>
        <v>1534256.8099999996</v>
      </c>
      <c r="I13" s="100">
        <f t="shared" si="1"/>
        <v>1134256.81</v>
      </c>
      <c r="J13" s="99"/>
    </row>
    <row r="14" spans="2:10" ht="15.75" customHeight="1" x14ac:dyDescent="0.3">
      <c r="B14" s="309"/>
      <c r="C14" s="190" t="s">
        <v>38</v>
      </c>
      <c r="D14" s="98">
        <v>19071.25</v>
      </c>
      <c r="E14" s="102">
        <v>29411</v>
      </c>
      <c r="F14" s="102">
        <v>99134.49</v>
      </c>
      <c r="G14" s="191">
        <v>111048</v>
      </c>
      <c r="H14" s="191">
        <f t="shared" si="0"/>
        <v>1452619.8099999996</v>
      </c>
      <c r="I14" s="100">
        <f t="shared" si="1"/>
        <v>1052619.81</v>
      </c>
      <c r="J14" s="99"/>
    </row>
    <row r="15" spans="2:10" ht="15.75" customHeight="1" x14ac:dyDescent="0.3">
      <c r="B15" s="309"/>
      <c r="C15" s="190" t="s">
        <v>39</v>
      </c>
      <c r="D15" s="98">
        <v>10920</v>
      </c>
      <c r="E15" s="99">
        <v>15339</v>
      </c>
      <c r="F15" s="102">
        <v>49134.490000000005</v>
      </c>
      <c r="G15" s="185">
        <v>39164.78</v>
      </c>
      <c r="H15" s="191">
        <f t="shared" si="0"/>
        <v>1428794.0299999996</v>
      </c>
      <c r="I15" s="100">
        <f t="shared" si="1"/>
        <v>1028794.03</v>
      </c>
      <c r="J15" s="99"/>
    </row>
    <row r="16" spans="2:10" ht="15" customHeight="1" x14ac:dyDescent="0.3">
      <c r="B16" s="309"/>
      <c r="C16" s="190" t="s">
        <v>40</v>
      </c>
      <c r="D16" s="98">
        <v>147589</v>
      </c>
      <c r="E16" s="99">
        <v>200640.5</v>
      </c>
      <c r="F16" s="102">
        <v>99133.49</v>
      </c>
      <c r="G16" s="185">
        <v>62562</v>
      </c>
      <c r="H16" s="191">
        <f t="shared" si="0"/>
        <v>1566872.5299999996</v>
      </c>
      <c r="I16" s="100">
        <f t="shared" si="1"/>
        <v>1166872.53</v>
      </c>
      <c r="J16" s="99"/>
    </row>
    <row r="17" spans="2:11" ht="18" customHeight="1" x14ac:dyDescent="0.3">
      <c r="B17" s="309"/>
      <c r="C17" s="190" t="s">
        <v>41</v>
      </c>
      <c r="D17" s="98">
        <v>539655.5</v>
      </c>
      <c r="E17" s="99">
        <v>627997</v>
      </c>
      <c r="F17" s="102">
        <v>49133.490000000005</v>
      </c>
      <c r="G17" s="185">
        <v>58854</v>
      </c>
      <c r="H17" s="191">
        <f t="shared" si="0"/>
        <v>2136015.5299999993</v>
      </c>
      <c r="I17" s="100">
        <f t="shared" si="1"/>
        <v>1736015.53</v>
      </c>
      <c r="J17" s="99"/>
    </row>
    <row r="18" spans="2:11" ht="18" customHeight="1" x14ac:dyDescent="0.3">
      <c r="B18" s="309"/>
      <c r="C18" s="190" t="s">
        <v>42</v>
      </c>
      <c r="D18" s="98">
        <v>235795.75</v>
      </c>
      <c r="E18" s="99">
        <v>187412</v>
      </c>
      <c r="F18" s="102">
        <v>99133.49</v>
      </c>
      <c r="G18" s="185">
        <v>61990</v>
      </c>
      <c r="H18" s="191">
        <f t="shared" si="0"/>
        <v>2261437.5299999993</v>
      </c>
      <c r="I18" s="100">
        <f t="shared" si="1"/>
        <v>1861437.53</v>
      </c>
      <c r="J18" s="99"/>
    </row>
    <row r="19" spans="2:11" ht="15" customHeight="1" thickBot="1" x14ac:dyDescent="0.35">
      <c r="B19" s="310"/>
      <c r="C19" s="190" t="s">
        <v>43</v>
      </c>
      <c r="D19" s="98">
        <v>457384.03</v>
      </c>
      <c r="E19" s="99">
        <v>427692</v>
      </c>
      <c r="F19" s="102">
        <v>49133.61</v>
      </c>
      <c r="G19" s="191">
        <v>109339</v>
      </c>
      <c r="H19" s="184">
        <f t="shared" si="0"/>
        <v>2579790.5299999993</v>
      </c>
      <c r="I19" s="100">
        <f t="shared" si="1"/>
        <v>2179790.5300000003</v>
      </c>
      <c r="J19" s="99"/>
    </row>
    <row r="20" spans="2:11" ht="22.5" customHeight="1" thickBot="1" x14ac:dyDescent="0.35">
      <c r="B20" s="238" t="s">
        <v>120</v>
      </c>
      <c r="C20" s="192" t="s">
        <v>58</v>
      </c>
      <c r="D20" s="104">
        <f>SUM('Rev Projections'!D48)</f>
        <v>0</v>
      </c>
      <c r="E20" s="105">
        <f>SUM('Rev Projections'!E48)</f>
        <v>0</v>
      </c>
      <c r="F20" s="105">
        <f>'Expense Scenarios'!O24</f>
        <v>0</v>
      </c>
      <c r="G20" s="193">
        <v>0</v>
      </c>
      <c r="H20" s="191">
        <f t="shared" si="0"/>
        <v>2579790.5299999993</v>
      </c>
      <c r="I20" s="100">
        <f t="shared" ref="I20" si="2">SUM(I19)+E20-G20</f>
        <v>2179790.5300000003</v>
      </c>
      <c r="J20" s="99"/>
    </row>
    <row r="21" spans="2:11" ht="0.75" customHeight="1" thickBot="1" x14ac:dyDescent="0.35">
      <c r="B21" s="209"/>
      <c r="C21" s="107"/>
      <c r="D21" s="108"/>
      <c r="E21" s="109"/>
      <c r="F21" s="109"/>
      <c r="G21" s="109"/>
      <c r="H21" s="110">
        <f>H20+D21-F21</f>
        <v>2579790.5299999993</v>
      </c>
      <c r="I21" s="100">
        <f>SUM(I20)+E21-G21</f>
        <v>2179790.5300000003</v>
      </c>
      <c r="J21" s="99"/>
    </row>
    <row r="22" spans="2:11" ht="17.25" thickBot="1" x14ac:dyDescent="0.35">
      <c r="C22" s="85"/>
      <c r="D22" s="111">
        <f>SUM(D8:D21)</f>
        <v>2557456.6550000003</v>
      </c>
      <c r="E22" s="128">
        <f>SUM(E8:E19)</f>
        <v>2844145</v>
      </c>
      <c r="F22" s="125">
        <f>SUM(F8:F19)</f>
        <v>2200000</v>
      </c>
      <c r="G22" s="127">
        <f>SUM(G8:G20)</f>
        <v>2174481.4699999997</v>
      </c>
      <c r="H22" s="235">
        <f>SUM(H20)</f>
        <v>2579790.5299999993</v>
      </c>
      <c r="I22" s="126">
        <f>SUM(I20)</f>
        <v>2179790.5300000003</v>
      </c>
      <c r="J22" s="121"/>
    </row>
    <row r="23" spans="2:11" ht="16.5" customHeight="1" thickTop="1" x14ac:dyDescent="0.3">
      <c r="B23" s="124" t="s">
        <v>124</v>
      </c>
      <c r="C23" s="123">
        <v>44417</v>
      </c>
      <c r="D23" s="210"/>
      <c r="E23" s="211"/>
      <c r="F23" s="211"/>
      <c r="G23" s="213"/>
      <c r="H23" s="211"/>
      <c r="I23" s="85"/>
      <c r="J23" s="85"/>
      <c r="K23" s="85"/>
    </row>
    <row r="24" spans="2:11" ht="16.5" customHeight="1" x14ac:dyDescent="0.3">
      <c r="B24" s="122" t="s">
        <v>112</v>
      </c>
      <c r="C24" s="122"/>
      <c r="D24" s="97"/>
      <c r="E24" s="85"/>
      <c r="F24" s="85"/>
      <c r="G24" s="213"/>
      <c r="H24" s="85"/>
      <c r="I24" s="85"/>
      <c r="J24" s="85"/>
      <c r="K24" s="85"/>
    </row>
    <row r="25" spans="2:11" ht="16.5" customHeight="1" x14ac:dyDescent="0.3">
      <c r="B25" s="85" t="s">
        <v>208</v>
      </c>
      <c r="C25" s="85"/>
      <c r="D25" s="85"/>
      <c r="E25" s="85"/>
      <c r="F25" s="101"/>
      <c r="G25" s="99"/>
      <c r="H25" s="97"/>
      <c r="I25" s="85"/>
      <c r="J25" s="85"/>
      <c r="K25" s="85"/>
    </row>
    <row r="26" spans="2:11" ht="16.5" customHeight="1" x14ac:dyDescent="0.3">
      <c r="B26" s="195" t="s">
        <v>228</v>
      </c>
      <c r="C26" s="195"/>
      <c r="D26" s="195"/>
      <c r="E26" s="195"/>
      <c r="F26" s="207"/>
      <c r="G26" s="214"/>
      <c r="H26" s="207"/>
      <c r="I26" s="207"/>
      <c r="J26" s="85"/>
      <c r="K26" s="85"/>
    </row>
    <row r="27" spans="2:11" ht="16.5" customHeight="1" x14ac:dyDescent="0.3">
      <c r="B27" s="167" t="s">
        <v>130</v>
      </c>
      <c r="C27" s="168"/>
      <c r="D27" s="167"/>
      <c r="E27" s="169"/>
      <c r="F27" s="169"/>
      <c r="G27" s="215"/>
      <c r="H27" s="169"/>
      <c r="I27" s="85"/>
      <c r="J27" s="85"/>
      <c r="K27" s="85"/>
    </row>
    <row r="28" spans="2:11" ht="16.5" customHeight="1" x14ac:dyDescent="0.3">
      <c r="B28" s="311" t="s">
        <v>224</v>
      </c>
      <c r="C28" s="311"/>
      <c r="D28" s="311"/>
      <c r="E28" s="311"/>
      <c r="F28" s="311"/>
      <c r="G28" s="311"/>
      <c r="H28" s="311"/>
      <c r="I28" s="311"/>
      <c r="J28" s="311"/>
      <c r="K28" s="311"/>
    </row>
    <row r="29" spans="2:11" ht="16.5" customHeight="1" x14ac:dyDescent="0.3">
      <c r="B29" s="311" t="s">
        <v>191</v>
      </c>
      <c r="C29" s="311"/>
      <c r="D29" s="311"/>
      <c r="E29" s="208"/>
      <c r="F29" s="208"/>
      <c r="G29" s="216"/>
      <c r="H29" s="208"/>
      <c r="I29" s="208"/>
      <c r="J29" s="208"/>
      <c r="K29" s="208"/>
    </row>
    <row r="30" spans="2:11" ht="16.5" customHeight="1" x14ac:dyDescent="0.3">
      <c r="B30" s="312" t="s">
        <v>140</v>
      </c>
      <c r="C30" s="312"/>
      <c r="D30" s="312"/>
      <c r="E30" s="312"/>
      <c r="F30" s="312"/>
      <c r="G30" s="312"/>
      <c r="H30" s="312"/>
      <c r="I30" s="312"/>
      <c r="J30" s="312"/>
      <c r="K30" s="312"/>
    </row>
    <row r="31" spans="2:11" ht="34.5" customHeight="1" x14ac:dyDescent="0.3"/>
    <row r="32" spans="2:11" x14ac:dyDescent="0.3">
      <c r="B32" s="117"/>
      <c r="C32" s="114"/>
      <c r="D32" s="117"/>
    </row>
    <row r="33" spans="2:4" x14ac:dyDescent="0.3">
      <c r="B33" s="117"/>
      <c r="C33" s="114"/>
      <c r="D33" s="117"/>
    </row>
    <row r="34" spans="2:4" x14ac:dyDescent="0.3">
      <c r="B34" s="117"/>
      <c r="C34" s="114"/>
      <c r="D34" s="117"/>
    </row>
    <row r="35" spans="2:4" x14ac:dyDescent="0.3">
      <c r="B35" s="117"/>
      <c r="C35" s="114"/>
      <c r="D35" s="117"/>
    </row>
    <row r="36" spans="2:4" x14ac:dyDescent="0.3">
      <c r="B36" s="117"/>
      <c r="C36" s="114"/>
      <c r="D36" s="117"/>
    </row>
    <row r="37" spans="2:4" x14ac:dyDescent="0.3">
      <c r="B37" s="117"/>
      <c r="C37" s="114"/>
      <c r="D37" s="117"/>
    </row>
    <row r="38" spans="2:4" x14ac:dyDescent="0.3">
      <c r="B38" s="117"/>
      <c r="C38" s="114"/>
      <c r="D38" s="117"/>
    </row>
  </sheetData>
  <mergeCells count="4">
    <mergeCell ref="B28:K28"/>
    <mergeCell ref="B29:D29"/>
    <mergeCell ref="B30:K30"/>
    <mergeCell ref="B8:B19"/>
  </mergeCells>
  <pageMargins left="0.25" right="0.25" top="0.75" bottom="0.75" header="0.3" footer="0.3"/>
  <pageSetup fitToWidth="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8"/>
  <sheetViews>
    <sheetView tabSelected="1" topLeftCell="A10" zoomScale="80" zoomScaleNormal="80" workbookViewId="0">
      <selection activeCell="H17" sqref="H17"/>
    </sheetView>
  </sheetViews>
  <sheetFormatPr defaultRowHeight="16.5" x14ac:dyDescent="0.3"/>
  <cols>
    <col min="1" max="1" width="14" style="81" customWidth="1"/>
    <col min="2" max="2" width="11.5703125" style="81" customWidth="1"/>
    <col min="3" max="3" width="10.7109375" style="81" customWidth="1"/>
    <col min="4" max="4" width="11.140625" style="81" customWidth="1"/>
    <col min="5" max="5" width="10.85546875" style="81" customWidth="1"/>
    <col min="6" max="6" width="14.28515625" style="81" customWidth="1"/>
    <col min="7" max="7" width="14" style="170" customWidth="1"/>
    <col min="8" max="9" width="12.7109375" style="81" customWidth="1"/>
    <col min="10" max="10" width="2.85546875" style="81" customWidth="1"/>
    <col min="11" max="11" width="13.7109375" style="81" bestFit="1" customWidth="1"/>
    <col min="12" max="12" width="13.7109375" style="81" customWidth="1"/>
    <col min="13" max="16" width="13.7109375" style="81" bestFit="1" customWidth="1"/>
    <col min="17" max="17" width="9.140625" style="81"/>
    <col min="18" max="18" width="14.7109375" style="81" bestFit="1" customWidth="1"/>
    <col min="19" max="16384" width="9.140625" style="81"/>
  </cols>
  <sheetData>
    <row r="1" spans="2:10" ht="23.25" x14ac:dyDescent="0.35">
      <c r="B1" s="80" t="s">
        <v>111</v>
      </c>
    </row>
    <row r="2" spans="2:10" ht="9" customHeight="1" x14ac:dyDescent="0.3"/>
    <row r="3" spans="2:10" ht="18.75" x14ac:dyDescent="0.3">
      <c r="B3" s="239" t="s">
        <v>229</v>
      </c>
    </row>
    <row r="4" spans="2:10" ht="16.5" customHeight="1" thickBot="1" x14ac:dyDescent="0.4">
      <c r="B4" s="83" t="s">
        <v>110</v>
      </c>
    </row>
    <row r="5" spans="2:10" ht="47.25" customHeight="1" thickBot="1" x14ac:dyDescent="0.35">
      <c r="B5" s="233"/>
      <c r="C5" s="234"/>
      <c r="D5" s="229" t="s">
        <v>109</v>
      </c>
      <c r="E5" s="229" t="s">
        <v>108</v>
      </c>
      <c r="F5" s="229" t="s">
        <v>113</v>
      </c>
      <c r="G5" s="230" t="s">
        <v>114</v>
      </c>
      <c r="H5" s="231" t="s">
        <v>32</v>
      </c>
      <c r="I5" s="232" t="s">
        <v>123</v>
      </c>
      <c r="J5" s="86"/>
    </row>
    <row r="6" spans="2:10" ht="17.25" customHeight="1" thickBot="1" x14ac:dyDescent="0.35">
      <c r="B6" s="181" t="s">
        <v>122</v>
      </c>
      <c r="C6" s="186"/>
      <c r="D6" s="199">
        <v>2579789</v>
      </c>
      <c r="E6" s="199">
        <v>2579789</v>
      </c>
      <c r="F6" s="91" t="s">
        <v>118</v>
      </c>
      <c r="G6" s="187" t="s">
        <v>118</v>
      </c>
      <c r="H6" s="199">
        <v>2579789</v>
      </c>
      <c r="I6" s="228">
        <f>SUM(E6)</f>
        <v>2579789</v>
      </c>
      <c r="J6" s="120"/>
    </row>
    <row r="7" spans="2:10" ht="17.25" customHeight="1" thickBot="1" x14ac:dyDescent="0.35">
      <c r="B7" s="182" t="s">
        <v>121</v>
      </c>
      <c r="C7" s="188"/>
      <c r="D7" s="95">
        <v>-400000</v>
      </c>
      <c r="E7" s="95">
        <v>-400000</v>
      </c>
      <c r="F7" s="95"/>
      <c r="G7" s="183"/>
      <c r="H7" s="183"/>
      <c r="I7" s="96">
        <f>SUM(E7)</f>
        <v>-400000</v>
      </c>
      <c r="J7" s="95"/>
    </row>
    <row r="8" spans="2:10" ht="17.25" customHeight="1" x14ac:dyDescent="0.3">
      <c r="B8" s="308" t="s">
        <v>59</v>
      </c>
      <c r="C8" s="189" t="s">
        <v>31</v>
      </c>
      <c r="D8" s="98">
        <v>286469.25</v>
      </c>
      <c r="E8" s="99">
        <v>214693.5</v>
      </c>
      <c r="F8" s="102">
        <v>459015</v>
      </c>
      <c r="G8" s="185">
        <v>17841</v>
      </c>
      <c r="H8" s="191">
        <f>H6+E8-G8</f>
        <v>2776641.5</v>
      </c>
      <c r="I8" s="100">
        <f>SUM(I6:I7)+E8-G8</f>
        <v>2376641.5</v>
      </c>
      <c r="J8" s="99"/>
    </row>
    <row r="9" spans="2:10" ht="15.75" customHeight="1" x14ac:dyDescent="0.3">
      <c r="B9" s="309"/>
      <c r="C9" s="189" t="s">
        <v>33</v>
      </c>
      <c r="D9" s="98">
        <v>287554</v>
      </c>
      <c r="E9" s="99">
        <v>241919</v>
      </c>
      <c r="F9" s="102">
        <v>290330</v>
      </c>
      <c r="G9" s="185">
        <v>460041</v>
      </c>
      <c r="H9" s="191">
        <f>H8+E9-G9</f>
        <v>2558519.5</v>
      </c>
      <c r="I9" s="100">
        <f>SUM(I8)+E9-G9</f>
        <v>2158519.5</v>
      </c>
      <c r="J9" s="99"/>
    </row>
    <row r="10" spans="2:10" ht="15.75" customHeight="1" x14ac:dyDescent="0.3">
      <c r="B10" s="309"/>
      <c r="C10" s="189" t="s">
        <v>34</v>
      </c>
      <c r="D10" s="98">
        <v>203073</v>
      </c>
      <c r="E10" s="99">
        <v>194958.5</v>
      </c>
      <c r="F10" s="102">
        <v>94330</v>
      </c>
      <c r="G10" s="185">
        <v>255936</v>
      </c>
      <c r="H10" s="191">
        <f t="shared" ref="H10:H16" si="0">H9+E10-G10</f>
        <v>2497542</v>
      </c>
      <c r="I10" s="100">
        <f t="shared" ref="I10:I16" si="1">SUM(I9)+E10-G10</f>
        <v>2097542</v>
      </c>
      <c r="J10" s="99"/>
    </row>
    <row r="11" spans="2:10" ht="15" customHeight="1" x14ac:dyDescent="0.3">
      <c r="B11" s="309"/>
      <c r="C11" s="189" t="s">
        <v>35</v>
      </c>
      <c r="D11" s="98">
        <v>117544.5</v>
      </c>
      <c r="E11" s="99">
        <v>114055</v>
      </c>
      <c r="F11" s="102">
        <v>375715</v>
      </c>
      <c r="G11" s="185">
        <v>114995</v>
      </c>
      <c r="H11" s="191">
        <f t="shared" si="0"/>
        <v>2496602</v>
      </c>
      <c r="I11" s="100">
        <f t="shared" si="1"/>
        <v>2096602</v>
      </c>
      <c r="J11" s="99"/>
    </row>
    <row r="12" spans="2:10" ht="15" customHeight="1" x14ac:dyDescent="0.3">
      <c r="B12" s="309"/>
      <c r="C12" s="190" t="s">
        <v>36</v>
      </c>
      <c r="D12" s="98">
        <v>94926.5</v>
      </c>
      <c r="E12" s="99">
        <v>127690.25</v>
      </c>
      <c r="F12" s="102">
        <v>59330</v>
      </c>
      <c r="G12" s="185">
        <v>373061</v>
      </c>
      <c r="H12" s="191">
        <f t="shared" si="0"/>
        <v>2251231.25</v>
      </c>
      <c r="I12" s="100">
        <f t="shared" si="1"/>
        <v>1851231.25</v>
      </c>
      <c r="J12" s="99"/>
    </row>
    <row r="13" spans="2:10" ht="15" customHeight="1" x14ac:dyDescent="0.3">
      <c r="B13" s="309"/>
      <c r="C13" s="190" t="s">
        <v>37</v>
      </c>
      <c r="D13" s="98">
        <v>312682.5</v>
      </c>
      <c r="E13" s="99">
        <v>329872.5</v>
      </c>
      <c r="F13" s="102">
        <v>49530</v>
      </c>
      <c r="G13" s="185">
        <v>54142</v>
      </c>
      <c r="H13" s="191">
        <f t="shared" si="0"/>
        <v>2526961.75</v>
      </c>
      <c r="I13" s="100">
        <f t="shared" si="1"/>
        <v>2126961.75</v>
      </c>
      <c r="J13" s="99"/>
    </row>
    <row r="14" spans="2:10" ht="15.75" customHeight="1" x14ac:dyDescent="0.3">
      <c r="B14" s="309"/>
      <c r="C14" s="190" t="s">
        <v>38</v>
      </c>
      <c r="D14" s="98">
        <v>27405</v>
      </c>
      <c r="E14" s="102">
        <v>23565</v>
      </c>
      <c r="F14" s="102">
        <v>351715</v>
      </c>
      <c r="G14" s="191">
        <v>40869</v>
      </c>
      <c r="H14" s="191">
        <f t="shared" si="0"/>
        <v>2509657.75</v>
      </c>
      <c r="I14" s="100">
        <f t="shared" si="1"/>
        <v>2109657.75</v>
      </c>
      <c r="J14" s="99"/>
    </row>
    <row r="15" spans="2:10" ht="15.75" customHeight="1" x14ac:dyDescent="0.3">
      <c r="B15" s="309"/>
      <c r="C15" s="190" t="s">
        <v>39</v>
      </c>
      <c r="D15" s="98">
        <v>15387.5</v>
      </c>
      <c r="E15" s="99">
        <v>27395</v>
      </c>
      <c r="F15" s="102">
        <v>39330</v>
      </c>
      <c r="G15" s="185">
        <v>341517</v>
      </c>
      <c r="H15" s="191">
        <f t="shared" si="0"/>
        <v>2195535.75</v>
      </c>
      <c r="I15" s="100">
        <f t="shared" si="1"/>
        <v>1795535.75</v>
      </c>
      <c r="J15" s="99"/>
    </row>
    <row r="16" spans="2:10" ht="15" customHeight="1" thickBot="1" x14ac:dyDescent="0.35">
      <c r="B16" s="310"/>
      <c r="C16" s="190" t="s">
        <v>40</v>
      </c>
      <c r="D16" s="98">
        <v>192243.25</v>
      </c>
      <c r="E16" s="99">
        <v>102885</v>
      </c>
      <c r="F16" s="102">
        <v>42329</v>
      </c>
      <c r="G16" s="185">
        <v>30898</v>
      </c>
      <c r="H16" s="184">
        <f t="shared" si="0"/>
        <v>2267522.75</v>
      </c>
      <c r="I16" s="100">
        <f t="shared" si="1"/>
        <v>1867522.75</v>
      </c>
      <c r="J16" s="99"/>
    </row>
    <row r="17" spans="2:11" ht="18" customHeight="1" x14ac:dyDescent="0.3">
      <c r="B17" s="315" t="s">
        <v>120</v>
      </c>
      <c r="C17" s="190" t="s">
        <v>41</v>
      </c>
      <c r="D17" s="98">
        <v>565892</v>
      </c>
      <c r="E17" s="99"/>
      <c r="F17" s="102">
        <v>353714</v>
      </c>
      <c r="G17" s="185"/>
      <c r="H17" s="191">
        <f t="shared" ref="H17:H19" si="2">H16+D17-F17</f>
        <v>2479700.75</v>
      </c>
      <c r="I17" s="100">
        <f t="shared" ref="I17:I19" si="3">SUM(I16)+D17-F17</f>
        <v>2079700.75</v>
      </c>
      <c r="J17" s="99"/>
    </row>
    <row r="18" spans="2:11" ht="18" customHeight="1" x14ac:dyDescent="0.3">
      <c r="B18" s="315"/>
      <c r="C18" s="190" t="s">
        <v>42</v>
      </c>
      <c r="D18" s="98">
        <v>237654.5</v>
      </c>
      <c r="E18" s="99"/>
      <c r="F18" s="102">
        <v>42329</v>
      </c>
      <c r="G18" s="185"/>
      <c r="H18" s="191">
        <f t="shared" si="2"/>
        <v>2675026.25</v>
      </c>
      <c r="I18" s="100">
        <f t="shared" si="3"/>
        <v>2275026.25</v>
      </c>
      <c r="J18" s="99"/>
    </row>
    <row r="19" spans="2:11" ht="15" customHeight="1" x14ac:dyDescent="0.3">
      <c r="B19" s="315"/>
      <c r="C19" s="190" t="s">
        <v>43</v>
      </c>
      <c r="D19" s="98">
        <v>473231</v>
      </c>
      <c r="E19" s="99"/>
      <c r="F19" s="102">
        <v>42333</v>
      </c>
      <c r="G19" s="191"/>
      <c r="H19" s="191">
        <f t="shared" si="2"/>
        <v>3105924.25</v>
      </c>
      <c r="I19" s="100">
        <f t="shared" si="3"/>
        <v>2705924.25</v>
      </c>
      <c r="J19" s="99"/>
    </row>
    <row r="20" spans="2:11" ht="22.5" customHeight="1" thickBot="1" x14ac:dyDescent="0.35">
      <c r="B20" s="316"/>
      <c r="C20" s="192" t="s">
        <v>58</v>
      </c>
      <c r="D20" s="104">
        <f>SUM('Rev Projections'!D48)</f>
        <v>0</v>
      </c>
      <c r="E20" s="105">
        <f>SUM('Rev Projections'!E48)</f>
        <v>0</v>
      </c>
      <c r="F20" s="105">
        <f>'Expense Scenarios'!O24</f>
        <v>0</v>
      </c>
      <c r="G20" s="193">
        <v>0</v>
      </c>
      <c r="H20" s="191"/>
      <c r="I20" s="100"/>
      <c r="J20" s="99"/>
    </row>
    <row r="21" spans="2:11" ht="0.75" customHeight="1" thickBot="1" x14ac:dyDescent="0.35">
      <c r="B21" s="237"/>
      <c r="C21" s="107"/>
      <c r="D21" s="108"/>
      <c r="E21" s="109"/>
      <c r="F21" s="109"/>
      <c r="G21" s="109"/>
      <c r="H21" s="110">
        <f>H20+D21-F21</f>
        <v>0</v>
      </c>
      <c r="I21" s="100">
        <f>SUM(I20)+E21-G21</f>
        <v>0</v>
      </c>
      <c r="J21" s="99"/>
    </row>
    <row r="22" spans="2:11" ht="17.25" thickBot="1" x14ac:dyDescent="0.35">
      <c r="C22" s="85"/>
      <c r="D22" s="111">
        <f>SUM(D8:D21)</f>
        <v>2814063</v>
      </c>
      <c r="E22" s="128">
        <f>SUM(E8:E19)</f>
        <v>1377033.75</v>
      </c>
      <c r="F22" s="125">
        <f>SUM(F8:F19)</f>
        <v>2200000</v>
      </c>
      <c r="G22" s="127">
        <f>SUM(G8:G20)</f>
        <v>1689300</v>
      </c>
      <c r="H22" s="235">
        <f>H19</f>
        <v>3105924.25</v>
      </c>
      <c r="I22" s="126">
        <f>I19</f>
        <v>2705924.25</v>
      </c>
      <c r="J22" s="121"/>
    </row>
    <row r="23" spans="2:11" ht="16.5" customHeight="1" thickTop="1" x14ac:dyDescent="0.3">
      <c r="B23" s="124" t="s">
        <v>124</v>
      </c>
      <c r="C23" s="317">
        <v>44643</v>
      </c>
      <c r="D23" s="317"/>
      <c r="E23" s="211"/>
      <c r="F23" s="211"/>
      <c r="G23" s="213"/>
      <c r="H23" s="211"/>
      <c r="I23" s="85"/>
      <c r="J23" s="85"/>
      <c r="K23" s="85"/>
    </row>
    <row r="24" spans="2:11" ht="16.5" customHeight="1" x14ac:dyDescent="0.3">
      <c r="B24" s="122" t="s">
        <v>112</v>
      </c>
      <c r="C24" s="122"/>
      <c r="D24" s="97"/>
      <c r="E24" s="85"/>
      <c r="F24" s="85"/>
      <c r="G24" s="213"/>
      <c r="H24" s="85"/>
      <c r="I24" s="85"/>
      <c r="J24" s="85"/>
      <c r="K24" s="85"/>
    </row>
    <row r="25" spans="2:11" ht="16.5" customHeight="1" x14ac:dyDescent="0.3">
      <c r="B25" s="85" t="s">
        <v>208</v>
      </c>
      <c r="C25" s="85"/>
      <c r="D25" s="85"/>
      <c r="E25" s="85"/>
      <c r="F25" s="101"/>
      <c r="G25" s="99"/>
      <c r="H25" s="97"/>
      <c r="I25" s="85"/>
      <c r="J25" s="85"/>
      <c r="K25" s="85"/>
    </row>
    <row r="26" spans="2:11" ht="16.5" customHeight="1" x14ac:dyDescent="0.3">
      <c r="B26" s="85"/>
      <c r="C26" s="85"/>
      <c r="D26" s="85"/>
      <c r="E26" s="85"/>
      <c r="F26" s="101"/>
      <c r="G26" s="99"/>
      <c r="H26" s="97"/>
      <c r="I26" s="85"/>
      <c r="J26" s="85"/>
      <c r="K26" s="85"/>
    </row>
    <row r="27" spans="2:11" ht="16.5" customHeight="1" x14ac:dyDescent="0.3">
      <c r="B27" s="167" t="s">
        <v>130</v>
      </c>
      <c r="C27" s="168"/>
      <c r="D27" s="167"/>
      <c r="E27" s="169"/>
      <c r="F27" s="169"/>
      <c r="G27" s="215"/>
      <c r="H27" s="169"/>
      <c r="I27" s="85"/>
      <c r="J27" s="85"/>
      <c r="K27" s="85"/>
    </row>
    <row r="28" spans="2:11" ht="16.5" customHeight="1" x14ac:dyDescent="0.3">
      <c r="B28" s="312" t="s">
        <v>140</v>
      </c>
      <c r="C28" s="312"/>
      <c r="D28" s="312"/>
      <c r="E28" s="312"/>
      <c r="F28" s="312"/>
      <c r="G28" s="312"/>
      <c r="H28" s="312"/>
      <c r="I28" s="312"/>
      <c r="J28" s="312"/>
      <c r="K28" s="312"/>
    </row>
    <row r="29" spans="2:11" ht="16.5" customHeight="1" x14ac:dyDescent="0.3">
      <c r="B29" s="311"/>
      <c r="C29" s="311"/>
      <c r="D29" s="311"/>
      <c r="E29" s="236"/>
      <c r="F29" s="236"/>
      <c r="G29" s="216"/>
      <c r="H29" s="236"/>
      <c r="I29" s="236"/>
      <c r="J29" s="236"/>
      <c r="K29" s="236"/>
    </row>
    <row r="31" spans="2:11" ht="34.5" customHeight="1" x14ac:dyDescent="0.3"/>
    <row r="32" spans="2:11" x14ac:dyDescent="0.3">
      <c r="B32" s="117"/>
      <c r="C32" s="114"/>
      <c r="D32" s="117"/>
    </row>
    <row r="33" spans="2:4" x14ac:dyDescent="0.3">
      <c r="B33" s="117"/>
      <c r="C33" s="114"/>
      <c r="D33" s="117"/>
    </row>
    <row r="34" spans="2:4" x14ac:dyDescent="0.3">
      <c r="B34" s="117"/>
      <c r="C34" s="114"/>
      <c r="D34" s="117"/>
    </row>
    <row r="35" spans="2:4" x14ac:dyDescent="0.3">
      <c r="B35" s="117"/>
      <c r="C35" s="114"/>
      <c r="D35" s="117"/>
    </row>
    <row r="36" spans="2:4" x14ac:dyDescent="0.3">
      <c r="B36" s="117"/>
      <c r="C36" s="114"/>
      <c r="D36" s="117"/>
    </row>
    <row r="37" spans="2:4" x14ac:dyDescent="0.3">
      <c r="B37" s="117"/>
      <c r="C37" s="114"/>
      <c r="D37" s="117"/>
    </row>
    <row r="38" spans="2:4" x14ac:dyDescent="0.3">
      <c r="B38" s="117"/>
      <c r="C38" s="114"/>
      <c r="D38" s="117"/>
    </row>
  </sheetData>
  <mergeCells count="5">
    <mergeCell ref="B17:B20"/>
    <mergeCell ref="B8:B16"/>
    <mergeCell ref="B29:D29"/>
    <mergeCell ref="B28:K28"/>
    <mergeCell ref="C23:D23"/>
  </mergeCells>
  <pageMargins left="0.25" right="0.25" top="0.75" bottom="0.75" header="0.3" footer="0.3"/>
  <pageSetup fitToWidth="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2"/>
  <sheetViews>
    <sheetView showWhiteSpace="0" view="pageLayout" topLeftCell="A31" zoomScaleNormal="100" workbookViewId="0">
      <selection activeCell="A129" sqref="A129:Q169"/>
    </sheetView>
  </sheetViews>
  <sheetFormatPr defaultRowHeight="15" x14ac:dyDescent="0.25"/>
  <cols>
    <col min="1" max="1" width="9.85546875" customWidth="1"/>
    <col min="2" max="2" width="10.5703125" customWidth="1"/>
    <col min="3" max="3" width="11.28515625" customWidth="1"/>
    <col min="4" max="4" width="11" customWidth="1"/>
    <col min="5" max="5" width="12.28515625" customWidth="1"/>
    <col min="6" max="6" width="13.7109375" customWidth="1"/>
    <col min="7" max="7" width="11.85546875" customWidth="1"/>
    <col min="8" max="8" width="10.5703125" customWidth="1"/>
    <col min="9" max="9" width="12.7109375" customWidth="1"/>
    <col min="10" max="10" width="10.85546875" customWidth="1"/>
    <col min="11" max="11" width="19.140625" customWidth="1"/>
    <col min="12" max="12" width="12" customWidth="1"/>
    <col min="13" max="13" width="14.140625" customWidth="1"/>
    <col min="14" max="14" width="15" customWidth="1"/>
    <col min="15" max="15" width="26" customWidth="1"/>
  </cols>
  <sheetData>
    <row r="1" spans="1:12" ht="23.25" x14ac:dyDescent="0.35">
      <c r="A1" s="131" t="s">
        <v>141</v>
      </c>
      <c r="B1" s="131"/>
      <c r="C1" s="131"/>
    </row>
    <row r="3" spans="1:12" ht="51.75" x14ac:dyDescent="0.25">
      <c r="A3" s="132"/>
      <c r="B3" s="133" t="s">
        <v>135</v>
      </c>
      <c r="C3" s="133" t="s">
        <v>142</v>
      </c>
      <c r="D3" s="133" t="s">
        <v>143</v>
      </c>
      <c r="E3" s="133" t="s">
        <v>144</v>
      </c>
      <c r="F3" s="133"/>
      <c r="G3" s="133" t="s">
        <v>145</v>
      </c>
      <c r="H3" s="133" t="s">
        <v>146</v>
      </c>
      <c r="I3" s="133" t="s">
        <v>154</v>
      </c>
      <c r="J3" s="134" t="s">
        <v>147</v>
      </c>
      <c r="K3" s="133" t="s">
        <v>148</v>
      </c>
      <c r="L3" s="144"/>
    </row>
    <row r="4" spans="1:12" ht="14.45" customHeight="1" x14ac:dyDescent="0.25">
      <c r="A4" s="135" t="s">
        <v>31</v>
      </c>
      <c r="B4" s="136">
        <v>14770.83</v>
      </c>
      <c r="C4" s="137">
        <v>12305</v>
      </c>
      <c r="D4" s="137">
        <v>14375</v>
      </c>
      <c r="E4" s="137"/>
      <c r="F4" s="137"/>
      <c r="G4" s="137"/>
      <c r="H4" s="138">
        <v>25500</v>
      </c>
      <c r="I4" s="138"/>
      <c r="J4" s="130">
        <f>SUM(B4:I4)</f>
        <v>66950.83</v>
      </c>
      <c r="K4" s="138" t="s">
        <v>155</v>
      </c>
      <c r="L4" s="145"/>
    </row>
    <row r="5" spans="1:12" x14ac:dyDescent="0.25">
      <c r="A5" s="135" t="s">
        <v>33</v>
      </c>
      <c r="B5" s="136">
        <v>14770.83</v>
      </c>
      <c r="C5" s="137">
        <v>12305</v>
      </c>
      <c r="D5" s="137"/>
      <c r="E5" s="137"/>
      <c r="F5" s="137"/>
      <c r="G5" s="137"/>
      <c r="H5" s="138">
        <v>44000</v>
      </c>
      <c r="I5" s="138">
        <v>5000</v>
      </c>
      <c r="J5" s="130">
        <f t="shared" ref="J5:J15" si="0">SUM(B5:I5)</f>
        <v>76075.83</v>
      </c>
      <c r="K5" s="138" t="s">
        <v>149</v>
      </c>
      <c r="L5" s="145"/>
    </row>
    <row r="6" spans="1:12" x14ac:dyDescent="0.25">
      <c r="A6" s="135" t="s">
        <v>34</v>
      </c>
      <c r="B6" s="136">
        <v>14770.83</v>
      </c>
      <c r="C6" s="137">
        <v>12305</v>
      </c>
      <c r="D6" s="137"/>
      <c r="E6" s="137"/>
      <c r="F6" s="137"/>
      <c r="G6" s="137"/>
      <c r="H6" s="138">
        <v>44000</v>
      </c>
      <c r="I6" s="138"/>
      <c r="J6" s="130">
        <f t="shared" si="0"/>
        <v>71075.83</v>
      </c>
      <c r="K6" s="138" t="s">
        <v>149</v>
      </c>
      <c r="L6" s="145"/>
    </row>
    <row r="7" spans="1:12" ht="14.45" customHeight="1" x14ac:dyDescent="0.25">
      <c r="A7" s="135" t="s">
        <v>35</v>
      </c>
      <c r="B7" s="136">
        <v>14770.83</v>
      </c>
      <c r="C7" s="137">
        <v>12305</v>
      </c>
      <c r="D7" s="137"/>
      <c r="E7" s="137"/>
      <c r="F7" s="137"/>
      <c r="G7" s="137">
        <v>4140</v>
      </c>
      <c r="H7" s="138"/>
      <c r="I7" s="138">
        <v>5000</v>
      </c>
      <c r="J7" s="130">
        <f t="shared" si="0"/>
        <v>36215.83</v>
      </c>
      <c r="K7" s="138"/>
      <c r="L7" s="145"/>
    </row>
    <row r="8" spans="1:12" x14ac:dyDescent="0.25">
      <c r="A8" s="135" t="s">
        <v>36</v>
      </c>
      <c r="B8" s="136">
        <v>14770.83</v>
      </c>
      <c r="C8" s="137">
        <v>12305</v>
      </c>
      <c r="D8" s="137"/>
      <c r="E8" s="137"/>
      <c r="F8" s="137"/>
      <c r="G8" s="137">
        <v>4140</v>
      </c>
      <c r="H8" s="138"/>
      <c r="I8" s="138"/>
      <c r="J8" s="130">
        <f t="shared" si="0"/>
        <v>31215.83</v>
      </c>
      <c r="K8" s="138"/>
      <c r="L8" s="145"/>
    </row>
    <row r="9" spans="1:12" x14ac:dyDescent="0.25">
      <c r="A9" s="135" t="s">
        <v>37</v>
      </c>
      <c r="B9" s="136">
        <v>14770.83</v>
      </c>
      <c r="C9" s="137"/>
      <c r="D9" s="137"/>
      <c r="E9" s="137"/>
      <c r="F9" s="137"/>
      <c r="G9" s="137">
        <v>4140</v>
      </c>
      <c r="H9" s="138">
        <v>590000</v>
      </c>
      <c r="I9" s="138">
        <v>5000</v>
      </c>
      <c r="J9" s="130">
        <f t="shared" si="0"/>
        <v>613910.82999999996</v>
      </c>
      <c r="K9" s="138" t="s">
        <v>150</v>
      </c>
      <c r="L9" s="145"/>
    </row>
    <row r="10" spans="1:12" x14ac:dyDescent="0.25">
      <c r="A10" s="135" t="s">
        <v>38</v>
      </c>
      <c r="B10" s="136">
        <v>14770.83</v>
      </c>
      <c r="C10" s="137"/>
      <c r="D10" s="137"/>
      <c r="E10" s="137"/>
      <c r="F10" s="137"/>
      <c r="G10" s="137">
        <v>4140</v>
      </c>
      <c r="H10" s="138"/>
      <c r="I10" s="138"/>
      <c r="J10" s="130">
        <f t="shared" si="0"/>
        <v>18910.830000000002</v>
      </c>
      <c r="K10" s="138"/>
      <c r="L10" s="145"/>
    </row>
    <row r="11" spans="1:12" x14ac:dyDescent="0.25">
      <c r="A11" s="135" t="s">
        <v>39</v>
      </c>
      <c r="B11" s="136">
        <v>14770.83</v>
      </c>
      <c r="C11" s="137"/>
      <c r="D11" s="137"/>
      <c r="E11" s="137"/>
      <c r="F11" s="137"/>
      <c r="G11" s="137">
        <v>4140</v>
      </c>
      <c r="H11" s="138"/>
      <c r="I11" s="138">
        <v>10000</v>
      </c>
      <c r="J11" s="130">
        <f t="shared" si="0"/>
        <v>28910.83</v>
      </c>
      <c r="K11" s="138"/>
      <c r="L11" s="145"/>
    </row>
    <row r="12" spans="1:12" x14ac:dyDescent="0.25">
      <c r="A12" s="135" t="s">
        <v>40</v>
      </c>
      <c r="B12" s="136">
        <v>14770.83</v>
      </c>
      <c r="C12" s="137"/>
      <c r="D12" s="137"/>
      <c r="E12" s="137"/>
      <c r="F12" s="137"/>
      <c r="G12" s="137">
        <v>4140</v>
      </c>
      <c r="H12" s="138"/>
      <c r="I12" s="138"/>
      <c r="J12" s="130">
        <f t="shared" si="0"/>
        <v>18910.830000000002</v>
      </c>
      <c r="K12" s="138"/>
      <c r="L12" s="145"/>
    </row>
    <row r="13" spans="1:12" x14ac:dyDescent="0.25">
      <c r="A13" s="135" t="s">
        <v>41</v>
      </c>
      <c r="B13" s="136">
        <v>14770.83</v>
      </c>
      <c r="C13" s="137"/>
      <c r="D13" s="137"/>
      <c r="E13" s="137"/>
      <c r="F13" s="137"/>
      <c r="G13" s="137">
        <v>4140</v>
      </c>
      <c r="H13" s="138"/>
      <c r="I13" s="138">
        <v>5000</v>
      </c>
      <c r="J13" s="130">
        <f t="shared" si="0"/>
        <v>23910.83</v>
      </c>
      <c r="K13" s="138"/>
      <c r="L13" s="145"/>
    </row>
    <row r="14" spans="1:12" x14ac:dyDescent="0.25">
      <c r="A14" s="135" t="s">
        <v>42</v>
      </c>
      <c r="B14" s="136">
        <v>14770.83</v>
      </c>
      <c r="C14" s="137"/>
      <c r="D14" s="137"/>
      <c r="E14" s="137"/>
      <c r="F14" s="137"/>
      <c r="G14" s="137"/>
      <c r="H14" s="138"/>
      <c r="I14" s="138"/>
      <c r="J14" s="130">
        <f t="shared" si="0"/>
        <v>14770.83</v>
      </c>
      <c r="K14" s="138"/>
      <c r="L14" s="145"/>
    </row>
    <row r="15" spans="1:12" x14ac:dyDescent="0.25">
      <c r="A15" s="135" t="s">
        <v>43</v>
      </c>
      <c r="B15" s="136">
        <v>14770.87</v>
      </c>
      <c r="C15" s="137"/>
      <c r="D15" s="137"/>
      <c r="E15" s="137">
        <v>9200</v>
      </c>
      <c r="F15" s="137"/>
      <c r="G15" s="137"/>
      <c r="H15" s="138">
        <v>5170</v>
      </c>
      <c r="I15" s="138">
        <v>5000</v>
      </c>
      <c r="J15" s="130">
        <f t="shared" si="0"/>
        <v>34140.870000000003</v>
      </c>
      <c r="K15" s="138" t="s">
        <v>151</v>
      </c>
      <c r="L15" s="145"/>
    </row>
    <row r="16" spans="1:12" ht="15.75" thickBot="1" x14ac:dyDescent="0.3">
      <c r="A16" s="139" t="s">
        <v>152</v>
      </c>
      <c r="B16" s="139">
        <f>SUM(B4:B15)</f>
        <v>177249.99999999997</v>
      </c>
      <c r="C16" s="139">
        <f t="shared" ref="C16:I16" si="1">SUM(C4:C15)</f>
        <v>61525</v>
      </c>
      <c r="D16" s="139">
        <f t="shared" si="1"/>
        <v>14375</v>
      </c>
      <c r="E16" s="139">
        <f t="shared" si="1"/>
        <v>9200</v>
      </c>
      <c r="F16" s="139"/>
      <c r="G16" s="139">
        <f>SUM(G4:G15)</f>
        <v>28980</v>
      </c>
      <c r="H16" s="139">
        <f t="shared" si="1"/>
        <v>708670</v>
      </c>
      <c r="I16" s="139">
        <f t="shared" si="1"/>
        <v>35000</v>
      </c>
      <c r="J16" s="139">
        <f>SUM(J4:J15)</f>
        <v>1034999.9999999998</v>
      </c>
      <c r="K16" s="140"/>
      <c r="L16" s="140"/>
    </row>
    <row r="17" spans="1:14" ht="15.75" thickTop="1" x14ac:dyDescent="0.25"/>
    <row r="18" spans="1:14" ht="23.25" x14ac:dyDescent="0.35">
      <c r="A18" s="131" t="s">
        <v>156</v>
      </c>
      <c r="B18" s="131"/>
      <c r="C18" s="131"/>
    </row>
    <row r="19" spans="1:14" x14ac:dyDescent="0.25">
      <c r="A19" s="164"/>
      <c r="B19" s="319" t="s">
        <v>170</v>
      </c>
      <c r="C19" s="321"/>
      <c r="D19" s="321"/>
      <c r="E19" s="321"/>
      <c r="F19" s="321"/>
      <c r="G19" s="321"/>
      <c r="H19" s="321"/>
      <c r="I19" s="321"/>
      <c r="J19" s="321"/>
      <c r="K19" s="152"/>
      <c r="L19" s="160"/>
      <c r="M19" s="159"/>
      <c r="N19" s="158"/>
    </row>
    <row r="20" spans="1:14" ht="39" x14ac:dyDescent="0.25">
      <c r="A20" s="151"/>
      <c r="B20" s="161" t="s">
        <v>135</v>
      </c>
      <c r="C20" s="150" t="s">
        <v>142</v>
      </c>
      <c r="D20" s="150" t="s">
        <v>157</v>
      </c>
      <c r="E20" s="150" t="s">
        <v>144</v>
      </c>
      <c r="F20" s="150" t="s">
        <v>158</v>
      </c>
      <c r="G20" s="150" t="s">
        <v>159</v>
      </c>
      <c r="H20" s="150" t="s">
        <v>145</v>
      </c>
      <c r="I20" s="150" t="s">
        <v>160</v>
      </c>
      <c r="J20" s="153" t="s">
        <v>161</v>
      </c>
      <c r="K20" s="154" t="s">
        <v>154</v>
      </c>
      <c r="L20" s="155" t="s">
        <v>168</v>
      </c>
      <c r="M20" s="157" t="s">
        <v>147</v>
      </c>
      <c r="N20" s="133" t="s">
        <v>162</v>
      </c>
    </row>
    <row r="21" spans="1:14" x14ac:dyDescent="0.25">
      <c r="A21" s="151" t="s">
        <v>31</v>
      </c>
      <c r="B21" s="162">
        <v>14770.83</v>
      </c>
      <c r="C21" s="137">
        <v>12305</v>
      </c>
      <c r="D21" s="137">
        <v>14375</v>
      </c>
      <c r="E21" s="137"/>
      <c r="F21" s="137"/>
      <c r="G21" s="137"/>
      <c r="H21" s="136"/>
      <c r="I21" s="137"/>
      <c r="J21" s="138">
        <v>25500</v>
      </c>
      <c r="K21" s="143"/>
      <c r="L21" s="147"/>
      <c r="M21" s="156">
        <f>SUM(B21:L21)</f>
        <v>66950.83</v>
      </c>
      <c r="N21" s="138" t="s">
        <v>163</v>
      </c>
    </row>
    <row r="22" spans="1:14" x14ac:dyDescent="0.25">
      <c r="A22" s="151" t="s">
        <v>33</v>
      </c>
      <c r="B22" s="162">
        <v>14770.83</v>
      </c>
      <c r="C22" s="137">
        <v>12305</v>
      </c>
      <c r="D22" s="137"/>
      <c r="E22" s="137"/>
      <c r="F22" s="137"/>
      <c r="G22" s="137"/>
      <c r="H22" s="136"/>
      <c r="I22" s="137"/>
      <c r="J22" s="138"/>
      <c r="K22" s="143">
        <v>5000</v>
      </c>
      <c r="L22" s="147"/>
      <c r="M22" s="146">
        <f t="shared" ref="M22:M32" si="2">SUM(B22:L22)</f>
        <v>32075.83</v>
      </c>
      <c r="N22" s="138"/>
    </row>
    <row r="23" spans="1:14" x14ac:dyDescent="0.25">
      <c r="A23" s="151" t="s">
        <v>34</v>
      </c>
      <c r="B23" s="162">
        <v>14770.83</v>
      </c>
      <c r="C23" s="137">
        <v>12305</v>
      </c>
      <c r="D23" s="137"/>
      <c r="E23" s="137"/>
      <c r="F23" s="137"/>
      <c r="G23" s="137"/>
      <c r="H23" s="136"/>
      <c r="I23" s="137"/>
      <c r="J23" s="138"/>
      <c r="K23" s="143"/>
      <c r="L23" s="147"/>
      <c r="M23" s="146">
        <f t="shared" si="2"/>
        <v>27075.83</v>
      </c>
      <c r="N23" s="138"/>
    </row>
    <row r="24" spans="1:14" x14ac:dyDescent="0.25">
      <c r="A24" s="151" t="s">
        <v>35</v>
      </c>
      <c r="B24" s="162">
        <v>14770.83</v>
      </c>
      <c r="C24" s="137"/>
      <c r="D24" s="137"/>
      <c r="E24" s="137"/>
      <c r="F24" s="137"/>
      <c r="G24" s="137"/>
      <c r="H24" s="136"/>
      <c r="I24" s="137"/>
      <c r="J24" s="138"/>
      <c r="K24" s="143">
        <v>5000</v>
      </c>
      <c r="L24" s="147"/>
      <c r="M24" s="146">
        <f t="shared" si="2"/>
        <v>19770.830000000002</v>
      </c>
      <c r="N24" s="138"/>
    </row>
    <row r="25" spans="1:14" x14ac:dyDescent="0.25">
      <c r="A25" s="151" t="s">
        <v>36</v>
      </c>
      <c r="B25" s="162">
        <v>14770.83</v>
      </c>
      <c r="C25" s="137"/>
      <c r="D25" s="137"/>
      <c r="E25" s="137"/>
      <c r="F25" s="137"/>
      <c r="G25" s="137"/>
      <c r="H25" s="136"/>
      <c r="I25" s="137"/>
      <c r="J25" s="138"/>
      <c r="K25" s="143"/>
      <c r="L25" s="147"/>
      <c r="M25" s="146">
        <f t="shared" si="2"/>
        <v>14770.83</v>
      </c>
      <c r="N25" s="138"/>
    </row>
    <row r="26" spans="1:14" x14ac:dyDescent="0.25">
      <c r="A26" s="151" t="s">
        <v>37</v>
      </c>
      <c r="B26" s="162">
        <v>14770.83</v>
      </c>
      <c r="C26" s="137"/>
      <c r="D26" s="137"/>
      <c r="E26" s="137"/>
      <c r="F26" s="137"/>
      <c r="G26" s="137"/>
      <c r="H26" s="136"/>
      <c r="I26" s="137"/>
      <c r="J26" s="138">
        <v>70000</v>
      </c>
      <c r="K26" s="143">
        <v>5000</v>
      </c>
      <c r="L26" s="147"/>
      <c r="M26" s="146">
        <f t="shared" si="2"/>
        <v>89770.83</v>
      </c>
      <c r="N26" s="138" t="s">
        <v>164</v>
      </c>
    </row>
    <row r="27" spans="1:14" x14ac:dyDescent="0.25">
      <c r="A27" s="151" t="s">
        <v>38</v>
      </c>
      <c r="B27" s="162">
        <v>14770.83</v>
      </c>
      <c r="C27" s="137"/>
      <c r="D27" s="137"/>
      <c r="E27" s="137">
        <v>4600</v>
      </c>
      <c r="F27" s="137"/>
      <c r="G27" s="137">
        <v>8395</v>
      </c>
      <c r="H27" s="136">
        <v>6267.5</v>
      </c>
      <c r="I27" s="137">
        <v>150000</v>
      </c>
      <c r="J27" s="138">
        <f>SUM(70000+5170)</f>
        <v>75170</v>
      </c>
      <c r="K27" s="143"/>
      <c r="L27" s="147"/>
      <c r="M27" s="146">
        <f t="shared" si="2"/>
        <v>259203.33000000002</v>
      </c>
      <c r="N27" s="138" t="s">
        <v>165</v>
      </c>
    </row>
    <row r="28" spans="1:14" x14ac:dyDescent="0.25">
      <c r="A28" s="151" t="s">
        <v>39</v>
      </c>
      <c r="B28" s="162">
        <v>14770.83</v>
      </c>
      <c r="C28" s="137">
        <v>7567</v>
      </c>
      <c r="D28" s="137"/>
      <c r="E28" s="137">
        <v>4600</v>
      </c>
      <c r="F28" s="137">
        <v>2760</v>
      </c>
      <c r="G28" s="137">
        <v>8395</v>
      </c>
      <c r="H28" s="136">
        <v>6267.5</v>
      </c>
      <c r="I28" s="137"/>
      <c r="J28" s="138">
        <v>70000</v>
      </c>
      <c r="K28" s="143">
        <v>10000</v>
      </c>
      <c r="L28" s="147"/>
      <c r="M28" s="146">
        <f t="shared" si="2"/>
        <v>124360.33</v>
      </c>
      <c r="N28" s="138" t="s">
        <v>164</v>
      </c>
    </row>
    <row r="29" spans="1:14" x14ac:dyDescent="0.25">
      <c r="A29" s="151" t="s">
        <v>40</v>
      </c>
      <c r="B29" s="162">
        <v>14770.83</v>
      </c>
      <c r="C29" s="137">
        <v>7567</v>
      </c>
      <c r="D29" s="137"/>
      <c r="E29" s="137"/>
      <c r="F29" s="137">
        <v>2760</v>
      </c>
      <c r="G29" s="137">
        <v>8395</v>
      </c>
      <c r="H29" s="136">
        <v>6267.5</v>
      </c>
      <c r="I29" s="137"/>
      <c r="J29" s="138"/>
      <c r="K29" s="143"/>
      <c r="L29" s="147"/>
      <c r="M29" s="146">
        <f t="shared" si="2"/>
        <v>39760.33</v>
      </c>
      <c r="N29" s="138"/>
    </row>
    <row r="30" spans="1:14" x14ac:dyDescent="0.25">
      <c r="A30" s="151" t="s">
        <v>41</v>
      </c>
      <c r="B30" s="162">
        <v>14770.83</v>
      </c>
      <c r="C30" s="137">
        <v>7567</v>
      </c>
      <c r="D30" s="137">
        <v>19550</v>
      </c>
      <c r="E30" s="137"/>
      <c r="F30" s="137">
        <v>2760</v>
      </c>
      <c r="G30" s="137">
        <v>4600</v>
      </c>
      <c r="H30" s="136">
        <v>6267.5</v>
      </c>
      <c r="I30" s="137"/>
      <c r="J30" s="138">
        <f>SUM(25500+5015+2500)</f>
        <v>33015</v>
      </c>
      <c r="K30" s="143">
        <v>5000</v>
      </c>
      <c r="L30" s="147"/>
      <c r="M30" s="146">
        <f t="shared" si="2"/>
        <v>93530.33</v>
      </c>
      <c r="N30" s="138" t="s">
        <v>166</v>
      </c>
    </row>
    <row r="31" spans="1:14" x14ac:dyDescent="0.25">
      <c r="A31" s="151" t="s">
        <v>42</v>
      </c>
      <c r="B31" s="162">
        <v>14770.83</v>
      </c>
      <c r="C31" s="137">
        <v>7567</v>
      </c>
      <c r="D31" s="137"/>
      <c r="E31" s="137"/>
      <c r="F31" s="137">
        <v>2760</v>
      </c>
      <c r="G31" s="137"/>
      <c r="H31" s="136">
        <v>6267.5</v>
      </c>
      <c r="I31" s="137"/>
      <c r="J31" s="138">
        <v>150000</v>
      </c>
      <c r="K31" s="143"/>
      <c r="L31" s="147"/>
      <c r="M31" s="146">
        <f t="shared" si="2"/>
        <v>181365.33000000002</v>
      </c>
      <c r="N31" s="138" t="s">
        <v>167</v>
      </c>
    </row>
    <row r="32" spans="1:14" x14ac:dyDescent="0.25">
      <c r="A32" s="165" t="s">
        <v>43</v>
      </c>
      <c r="B32" s="162">
        <v>14770.87</v>
      </c>
      <c r="C32" s="137">
        <v>7567</v>
      </c>
      <c r="D32" s="137"/>
      <c r="E32" s="137"/>
      <c r="F32" s="137">
        <v>2760</v>
      </c>
      <c r="G32" s="137"/>
      <c r="H32" s="136">
        <v>6267.5</v>
      </c>
      <c r="I32" s="137"/>
      <c r="J32" s="138"/>
      <c r="K32" s="143">
        <v>5000</v>
      </c>
      <c r="L32" s="147">
        <v>50000</v>
      </c>
      <c r="M32" s="146">
        <f t="shared" si="2"/>
        <v>86365.37</v>
      </c>
      <c r="N32" s="138"/>
    </row>
    <row r="33" spans="1:14" x14ac:dyDescent="0.25">
      <c r="A33" s="163" t="s">
        <v>152</v>
      </c>
      <c r="B33" s="148">
        <f t="shared" ref="B33:K33" si="3">SUM(B21:B32)</f>
        <v>177249.99999999997</v>
      </c>
      <c r="C33" s="148">
        <f t="shared" si="3"/>
        <v>74750</v>
      </c>
      <c r="D33" s="148">
        <f t="shared" si="3"/>
        <v>33925</v>
      </c>
      <c r="E33" s="148">
        <f t="shared" si="3"/>
        <v>9200</v>
      </c>
      <c r="F33" s="148">
        <f t="shared" si="3"/>
        <v>13800</v>
      </c>
      <c r="G33" s="148">
        <f t="shared" si="3"/>
        <v>29785</v>
      </c>
      <c r="H33" s="148">
        <f t="shared" si="3"/>
        <v>37605</v>
      </c>
      <c r="I33" s="148">
        <f t="shared" si="3"/>
        <v>150000</v>
      </c>
      <c r="J33" s="148">
        <f t="shared" si="3"/>
        <v>423685</v>
      </c>
      <c r="K33" s="148">
        <f t="shared" si="3"/>
        <v>35000</v>
      </c>
      <c r="L33" s="148">
        <f>SUM(L32)</f>
        <v>50000</v>
      </c>
      <c r="M33" s="148">
        <f>SUM(M21:M32)</f>
        <v>1034999.9999999999</v>
      </c>
      <c r="N33" s="149"/>
    </row>
    <row r="35" spans="1:14" ht="23.25" x14ac:dyDescent="0.35">
      <c r="A35" s="131" t="s">
        <v>171</v>
      </c>
      <c r="B35" s="131"/>
      <c r="C35" s="131"/>
    </row>
    <row r="36" spans="1:14" x14ac:dyDescent="0.25">
      <c r="A36" s="164"/>
      <c r="B36" s="319" t="s">
        <v>170</v>
      </c>
      <c r="C36" s="321"/>
      <c r="D36" s="321"/>
      <c r="E36" s="321"/>
      <c r="F36" s="321"/>
      <c r="G36" s="321"/>
      <c r="H36" s="321"/>
      <c r="I36" s="321"/>
      <c r="J36" s="321"/>
      <c r="K36" s="152"/>
      <c r="L36" s="160"/>
      <c r="M36" s="159"/>
      <c r="N36" s="158"/>
    </row>
    <row r="37" spans="1:14" ht="39" x14ac:dyDescent="0.25">
      <c r="A37" s="151"/>
      <c r="B37" s="161" t="s">
        <v>135</v>
      </c>
      <c r="C37" s="150" t="s">
        <v>142</v>
      </c>
      <c r="D37" s="150" t="s">
        <v>157</v>
      </c>
      <c r="E37" s="150" t="s">
        <v>144</v>
      </c>
      <c r="F37" s="150" t="s">
        <v>158</v>
      </c>
      <c r="G37" s="150" t="s">
        <v>159</v>
      </c>
      <c r="H37" s="150" t="s">
        <v>145</v>
      </c>
      <c r="I37" s="150" t="s">
        <v>160</v>
      </c>
      <c r="J37" s="153" t="s">
        <v>161</v>
      </c>
      <c r="K37" s="154" t="s">
        <v>154</v>
      </c>
      <c r="L37" s="155" t="s">
        <v>168</v>
      </c>
      <c r="M37" s="157" t="s">
        <v>147</v>
      </c>
      <c r="N37" s="133" t="s">
        <v>162</v>
      </c>
    </row>
    <row r="38" spans="1:14" x14ac:dyDescent="0.25">
      <c r="A38" s="151" t="s">
        <v>31</v>
      </c>
      <c r="B38" s="162">
        <v>14770.83</v>
      </c>
      <c r="C38" s="137">
        <v>12305</v>
      </c>
      <c r="D38" s="137">
        <v>14375</v>
      </c>
      <c r="E38" s="137"/>
      <c r="F38" s="137"/>
      <c r="G38" s="137"/>
      <c r="H38" s="136"/>
      <c r="I38" s="137"/>
      <c r="J38" s="138">
        <v>25500</v>
      </c>
      <c r="K38" s="143"/>
      <c r="L38" s="147"/>
      <c r="M38" s="156">
        <f>SUM(B38:L38)</f>
        <v>66950.83</v>
      </c>
      <c r="N38" s="138" t="s">
        <v>163</v>
      </c>
    </row>
    <row r="39" spans="1:14" x14ac:dyDescent="0.25">
      <c r="A39" s="151" t="s">
        <v>33</v>
      </c>
      <c r="B39" s="162">
        <v>14770.83</v>
      </c>
      <c r="C39" s="137">
        <v>12305</v>
      </c>
      <c r="D39" s="137"/>
      <c r="E39" s="137"/>
      <c r="F39" s="137"/>
      <c r="G39" s="137"/>
      <c r="H39" s="136"/>
      <c r="I39" s="137"/>
      <c r="J39" s="138"/>
      <c r="K39" s="143">
        <v>5000</v>
      </c>
      <c r="L39" s="147"/>
      <c r="M39" s="146">
        <f t="shared" ref="M39:M49" si="4">SUM(B39:L39)</f>
        <v>32075.83</v>
      </c>
      <c r="N39" s="138"/>
    </row>
    <row r="40" spans="1:14" x14ac:dyDescent="0.25">
      <c r="A40" s="151" t="s">
        <v>34</v>
      </c>
      <c r="B40" s="162">
        <v>14770.83</v>
      </c>
      <c r="C40" s="137">
        <v>12305</v>
      </c>
      <c r="D40" s="137"/>
      <c r="E40" s="137"/>
      <c r="F40" s="137"/>
      <c r="G40" s="137"/>
      <c r="H40" s="136"/>
      <c r="I40" s="137"/>
      <c r="J40" s="138"/>
      <c r="K40" s="143"/>
      <c r="L40" s="147"/>
      <c r="M40" s="146">
        <f t="shared" si="4"/>
        <v>27075.83</v>
      </c>
      <c r="N40" s="138"/>
    </row>
    <row r="41" spans="1:14" x14ac:dyDescent="0.25">
      <c r="A41" s="151" t="s">
        <v>35</v>
      </c>
      <c r="B41" s="162">
        <v>14770.83</v>
      </c>
      <c r="C41" s="137"/>
      <c r="D41" s="137"/>
      <c r="E41" s="137"/>
      <c r="F41" s="137"/>
      <c r="G41" s="137"/>
      <c r="H41" s="136"/>
      <c r="I41" s="137"/>
      <c r="J41" s="138"/>
      <c r="K41" s="143">
        <v>5000</v>
      </c>
      <c r="L41" s="147"/>
      <c r="M41" s="146">
        <f t="shared" si="4"/>
        <v>19770.830000000002</v>
      </c>
      <c r="N41" s="138"/>
    </row>
    <row r="42" spans="1:14" x14ac:dyDescent="0.25">
      <c r="A42" s="151" t="s">
        <v>36</v>
      </c>
      <c r="B42" s="162">
        <v>14770.83</v>
      </c>
      <c r="C42" s="137"/>
      <c r="D42" s="137"/>
      <c r="E42" s="137"/>
      <c r="F42" s="137"/>
      <c r="G42" s="137"/>
      <c r="H42" s="136"/>
      <c r="I42" s="137"/>
      <c r="J42" s="138"/>
      <c r="K42" s="143"/>
      <c r="L42" s="147"/>
      <c r="M42" s="146">
        <f t="shared" si="4"/>
        <v>14770.83</v>
      </c>
      <c r="N42" s="138"/>
    </row>
    <row r="43" spans="1:14" x14ac:dyDescent="0.25">
      <c r="A43" s="151" t="s">
        <v>37</v>
      </c>
      <c r="B43" s="162">
        <v>14770.83</v>
      </c>
      <c r="C43" s="137"/>
      <c r="D43" s="137"/>
      <c r="E43" s="137"/>
      <c r="F43" s="137"/>
      <c r="G43" s="137"/>
      <c r="H43" s="136"/>
      <c r="I43" s="137"/>
      <c r="J43" s="138">
        <v>70000</v>
      </c>
      <c r="K43" s="143">
        <v>5000</v>
      </c>
      <c r="L43" s="147"/>
      <c r="M43" s="146">
        <f t="shared" si="4"/>
        <v>89770.83</v>
      </c>
      <c r="N43" s="138" t="s">
        <v>164</v>
      </c>
    </row>
    <row r="44" spans="1:14" x14ac:dyDescent="0.25">
      <c r="A44" s="151" t="s">
        <v>38</v>
      </c>
      <c r="B44" s="162"/>
      <c r="C44" s="137"/>
      <c r="D44" s="137"/>
      <c r="E44" s="137"/>
      <c r="F44" s="137"/>
      <c r="G44" s="137"/>
      <c r="H44" s="136"/>
      <c r="I44" s="137">
        <v>150000</v>
      </c>
      <c r="J44" s="138"/>
      <c r="K44" s="143"/>
      <c r="L44" s="147"/>
      <c r="M44" s="146">
        <f t="shared" si="4"/>
        <v>150000</v>
      </c>
      <c r="N44" s="138" t="s">
        <v>165</v>
      </c>
    </row>
    <row r="45" spans="1:14" x14ac:dyDescent="0.25">
      <c r="A45" s="151" t="s">
        <v>39</v>
      </c>
      <c r="B45" s="162"/>
      <c r="C45" s="137"/>
      <c r="D45" s="137"/>
      <c r="E45" s="137"/>
      <c r="F45" s="137"/>
      <c r="G45" s="137"/>
      <c r="H45" s="136"/>
      <c r="I45" s="137"/>
      <c r="J45" s="138"/>
      <c r="K45" s="143">
        <v>5000</v>
      </c>
      <c r="L45" s="147"/>
      <c r="M45" s="146">
        <f t="shared" si="4"/>
        <v>5000</v>
      </c>
      <c r="N45" s="138" t="s">
        <v>164</v>
      </c>
    </row>
    <row r="46" spans="1:14" x14ac:dyDescent="0.25">
      <c r="A46" s="151" t="s">
        <v>40</v>
      </c>
      <c r="B46" s="162"/>
      <c r="C46" s="137"/>
      <c r="D46" s="137"/>
      <c r="E46" s="137"/>
      <c r="F46" s="137"/>
      <c r="G46" s="137"/>
      <c r="H46" s="136"/>
      <c r="I46" s="137"/>
      <c r="J46" s="138"/>
      <c r="K46" s="143"/>
      <c r="L46" s="147"/>
      <c r="M46" s="146">
        <f t="shared" si="4"/>
        <v>0</v>
      </c>
      <c r="N46" s="138"/>
    </row>
    <row r="47" spans="1:14" x14ac:dyDescent="0.25">
      <c r="A47" s="151" t="s">
        <v>41</v>
      </c>
      <c r="B47" s="162">
        <f>14770.83*4</f>
        <v>59083.32</v>
      </c>
      <c r="C47" s="137">
        <f>7567*3</f>
        <v>22701</v>
      </c>
      <c r="D47" s="137">
        <v>19550</v>
      </c>
      <c r="E47" s="137">
        <f>4600*2</f>
        <v>9200</v>
      </c>
      <c r="F47" s="137">
        <f>2760*3</f>
        <v>8280</v>
      </c>
      <c r="G47" s="137">
        <f>4600+25185</f>
        <v>29785</v>
      </c>
      <c r="H47" s="136">
        <f>6267.5*4</f>
        <v>25070</v>
      </c>
      <c r="I47" s="137"/>
      <c r="J47" s="138">
        <f>SUM(25500+5015+2500)+(70000)+(75170)+(50000)</f>
        <v>228185</v>
      </c>
      <c r="K47" s="143">
        <v>10000</v>
      </c>
      <c r="L47" s="147"/>
      <c r="M47" s="146">
        <f t="shared" si="4"/>
        <v>411854.32</v>
      </c>
      <c r="N47" s="138" t="s">
        <v>166</v>
      </c>
    </row>
    <row r="48" spans="1:14" x14ac:dyDescent="0.25">
      <c r="A48" s="151" t="s">
        <v>42</v>
      </c>
      <c r="B48" s="162">
        <v>14770.83</v>
      </c>
      <c r="C48" s="137">
        <v>7567</v>
      </c>
      <c r="D48" s="137"/>
      <c r="E48" s="137"/>
      <c r="F48" s="137">
        <v>2760</v>
      </c>
      <c r="G48" s="137"/>
      <c r="H48" s="136">
        <v>6267.5</v>
      </c>
      <c r="I48" s="137"/>
      <c r="J48" s="138">
        <v>150000</v>
      </c>
      <c r="K48" s="143"/>
      <c r="L48" s="147"/>
      <c r="M48" s="146">
        <f t="shared" si="4"/>
        <v>181365.33000000002</v>
      </c>
      <c r="N48" s="138" t="s">
        <v>167</v>
      </c>
    </row>
    <row r="49" spans="1:14" x14ac:dyDescent="0.25">
      <c r="A49" s="165" t="s">
        <v>43</v>
      </c>
      <c r="B49" s="162">
        <v>14770.87</v>
      </c>
      <c r="C49" s="137">
        <v>7567</v>
      </c>
      <c r="D49" s="137"/>
      <c r="E49" s="137"/>
      <c r="F49" s="137">
        <v>2760</v>
      </c>
      <c r="G49" s="137"/>
      <c r="H49" s="136">
        <v>6267.5</v>
      </c>
      <c r="I49" s="137"/>
      <c r="J49" s="138"/>
      <c r="K49" s="143">
        <v>5000</v>
      </c>
      <c r="L49" s="147"/>
      <c r="M49" s="146">
        <f t="shared" si="4"/>
        <v>36365.370000000003</v>
      </c>
      <c r="N49" s="138"/>
    </row>
    <row r="50" spans="1:14" x14ac:dyDescent="0.25">
      <c r="A50" s="163" t="s">
        <v>152</v>
      </c>
      <c r="B50" s="148">
        <f t="shared" ref="B50:K50" si="5">SUM(B38:B49)</f>
        <v>177249.99999999997</v>
      </c>
      <c r="C50" s="148">
        <f t="shared" si="5"/>
        <v>74750</v>
      </c>
      <c r="D50" s="148">
        <f t="shared" si="5"/>
        <v>33925</v>
      </c>
      <c r="E50" s="148">
        <f t="shared" si="5"/>
        <v>9200</v>
      </c>
      <c r="F50" s="148">
        <f t="shared" si="5"/>
        <v>13800</v>
      </c>
      <c r="G50" s="148">
        <f t="shared" si="5"/>
        <v>29785</v>
      </c>
      <c r="H50" s="148">
        <f t="shared" si="5"/>
        <v>37605</v>
      </c>
      <c r="I50" s="148">
        <f t="shared" si="5"/>
        <v>150000</v>
      </c>
      <c r="J50" s="148">
        <f t="shared" si="5"/>
        <v>473685</v>
      </c>
      <c r="K50" s="148">
        <f t="shared" si="5"/>
        <v>35000</v>
      </c>
      <c r="L50" s="148">
        <f>SUM(L49)</f>
        <v>0</v>
      </c>
      <c r="M50" s="148">
        <f>SUM(M38:M49)</f>
        <v>1035000.0000000001</v>
      </c>
      <c r="N50" s="149"/>
    </row>
    <row r="53" spans="1:14" ht="23.25" x14ac:dyDescent="0.35">
      <c r="A53" s="131" t="s">
        <v>174</v>
      </c>
      <c r="B53" s="131"/>
      <c r="C53" s="131"/>
    </row>
    <row r="54" spans="1:14" x14ac:dyDescent="0.25">
      <c r="A54" s="174"/>
      <c r="B54" s="318" t="s">
        <v>170</v>
      </c>
      <c r="C54" s="319"/>
      <c r="D54" s="319"/>
      <c r="E54" s="319"/>
      <c r="F54" s="319"/>
      <c r="G54" s="319"/>
      <c r="H54" s="319"/>
      <c r="I54" s="319"/>
      <c r="J54" s="319"/>
      <c r="K54" s="320"/>
      <c r="L54" s="175"/>
      <c r="M54" s="179"/>
      <c r="N54" s="179"/>
    </row>
    <row r="55" spans="1:14" ht="51.75" x14ac:dyDescent="0.25">
      <c r="A55" s="151"/>
      <c r="B55" s="176" t="s">
        <v>135</v>
      </c>
      <c r="C55" s="173" t="s">
        <v>142</v>
      </c>
      <c r="D55" s="173" t="s">
        <v>175</v>
      </c>
      <c r="E55" s="173" t="s">
        <v>144</v>
      </c>
      <c r="F55" s="173" t="s">
        <v>176</v>
      </c>
      <c r="G55" s="173" t="s">
        <v>177</v>
      </c>
      <c r="H55" s="173" t="s">
        <v>145</v>
      </c>
      <c r="I55" s="173" t="s">
        <v>160</v>
      </c>
      <c r="J55" s="177" t="s">
        <v>161</v>
      </c>
      <c r="K55" s="173" t="s">
        <v>162</v>
      </c>
      <c r="L55" s="154" t="s">
        <v>154</v>
      </c>
      <c r="M55" s="180" t="s">
        <v>147</v>
      </c>
      <c r="N55" s="180" t="s">
        <v>185</v>
      </c>
    </row>
    <row r="56" spans="1:14" x14ac:dyDescent="0.25">
      <c r="A56" s="151" t="s">
        <v>31</v>
      </c>
      <c r="B56" s="162">
        <v>20115.830000000002</v>
      </c>
      <c r="C56" s="137">
        <v>4945</v>
      </c>
      <c r="D56" s="137"/>
      <c r="E56" s="137"/>
      <c r="F56" s="137">
        <v>8280</v>
      </c>
      <c r="G56" s="137"/>
      <c r="H56" s="136">
        <v>3823.75</v>
      </c>
      <c r="I56" s="137">
        <v>466000</v>
      </c>
      <c r="J56" s="138">
        <v>3000</v>
      </c>
      <c r="K56" s="138" t="s">
        <v>178</v>
      </c>
      <c r="L56" s="143"/>
      <c r="M56" s="156">
        <f t="shared" ref="M56:M67" si="6">SUM(B56:L56)</f>
        <v>506164.58</v>
      </c>
      <c r="N56" s="156">
        <v>0</v>
      </c>
    </row>
    <row r="57" spans="1:14" x14ac:dyDescent="0.25">
      <c r="A57" s="151" t="s">
        <v>33</v>
      </c>
      <c r="B57" s="162">
        <v>20115.830000000002</v>
      </c>
      <c r="C57" s="137">
        <v>4945</v>
      </c>
      <c r="D57" s="137"/>
      <c r="E57" s="137"/>
      <c r="F57" s="137"/>
      <c r="G57" s="137"/>
      <c r="H57" s="136">
        <v>3823.75</v>
      </c>
      <c r="I57" s="137"/>
      <c r="J57" s="138"/>
      <c r="K57" s="138"/>
      <c r="L57" s="143">
        <v>5000</v>
      </c>
      <c r="M57" s="146">
        <f t="shared" si="6"/>
        <v>33884.58</v>
      </c>
      <c r="N57" s="146">
        <f>M56+M57</f>
        <v>540049.16</v>
      </c>
    </row>
    <row r="58" spans="1:14" x14ac:dyDescent="0.25">
      <c r="A58" s="151" t="s">
        <v>34</v>
      </c>
      <c r="B58" s="162">
        <v>20115.830000000002</v>
      </c>
      <c r="C58" s="137">
        <v>4945</v>
      </c>
      <c r="D58" s="137"/>
      <c r="E58" s="137"/>
      <c r="F58" s="137"/>
      <c r="G58" s="137"/>
      <c r="H58" s="136">
        <v>3823.75</v>
      </c>
      <c r="I58" s="137"/>
      <c r="J58" s="138"/>
      <c r="K58" s="138"/>
      <c r="L58" s="143"/>
      <c r="M58" s="146">
        <f t="shared" si="6"/>
        <v>28884.58</v>
      </c>
      <c r="N58" s="146">
        <v>28884.58</v>
      </c>
    </row>
    <row r="59" spans="1:14" x14ac:dyDescent="0.25">
      <c r="A59" s="151" t="s">
        <v>35</v>
      </c>
      <c r="B59" s="162">
        <v>20115.830000000002</v>
      </c>
      <c r="C59" s="137">
        <v>4945</v>
      </c>
      <c r="D59" s="137"/>
      <c r="E59" s="137"/>
      <c r="F59" s="137"/>
      <c r="G59" s="137">
        <v>2415</v>
      </c>
      <c r="H59" s="136">
        <v>3823.75</v>
      </c>
      <c r="I59" s="137"/>
      <c r="J59" s="138">
        <v>100000</v>
      </c>
      <c r="K59" s="138" t="s">
        <v>180</v>
      </c>
      <c r="L59" s="143">
        <v>5000</v>
      </c>
      <c r="M59" s="146">
        <f t="shared" si="6"/>
        <v>136299.58000000002</v>
      </c>
      <c r="N59" s="146">
        <v>136299.58000000002</v>
      </c>
    </row>
    <row r="60" spans="1:14" x14ac:dyDescent="0.25">
      <c r="A60" s="151" t="s">
        <v>36</v>
      </c>
      <c r="B60" s="162">
        <v>20115.830000000002</v>
      </c>
      <c r="C60" s="137">
        <v>4945</v>
      </c>
      <c r="D60" s="137">
        <v>2300</v>
      </c>
      <c r="E60" s="137">
        <v>3833.33</v>
      </c>
      <c r="F60" s="137"/>
      <c r="G60" s="137">
        <v>2415</v>
      </c>
      <c r="H60" s="136">
        <v>3823.75</v>
      </c>
      <c r="I60" s="137"/>
      <c r="J60" s="138">
        <v>100000</v>
      </c>
      <c r="K60" s="138" t="s">
        <v>180</v>
      </c>
      <c r="L60" s="143"/>
      <c r="M60" s="146">
        <f t="shared" si="6"/>
        <v>137432.91</v>
      </c>
      <c r="N60" s="146">
        <v>137432.91</v>
      </c>
    </row>
    <row r="61" spans="1:14" x14ac:dyDescent="0.25">
      <c r="A61" s="151" t="s">
        <v>37</v>
      </c>
      <c r="B61" s="162">
        <v>20115.830000000002</v>
      </c>
      <c r="C61" s="137">
        <v>4945</v>
      </c>
      <c r="D61" s="137">
        <v>2300</v>
      </c>
      <c r="E61" s="137">
        <v>3833.33</v>
      </c>
      <c r="F61" s="137"/>
      <c r="G61" s="137"/>
      <c r="H61" s="136">
        <v>3823.75</v>
      </c>
      <c r="I61" s="137"/>
      <c r="J61" s="138">
        <v>15000</v>
      </c>
      <c r="K61" s="138" t="s">
        <v>179</v>
      </c>
      <c r="L61" s="143">
        <v>5000</v>
      </c>
      <c r="M61" s="146">
        <f t="shared" si="6"/>
        <v>55017.91</v>
      </c>
      <c r="N61" s="146">
        <v>55017.91</v>
      </c>
    </row>
    <row r="62" spans="1:14" x14ac:dyDescent="0.25">
      <c r="A62" s="151" t="s">
        <v>38</v>
      </c>
      <c r="B62" s="162">
        <v>20115.830000000002</v>
      </c>
      <c r="C62" s="137">
        <v>4945</v>
      </c>
      <c r="D62" s="137">
        <v>2300</v>
      </c>
      <c r="E62" s="137">
        <v>3833.34</v>
      </c>
      <c r="F62" s="137"/>
      <c r="G62" s="137"/>
      <c r="H62" s="136">
        <v>3823.75</v>
      </c>
      <c r="I62" s="137"/>
      <c r="J62" s="138"/>
      <c r="K62" s="138"/>
      <c r="L62" s="143"/>
      <c r="M62" s="146">
        <f t="shared" si="6"/>
        <v>35017.919999999998</v>
      </c>
      <c r="N62" s="146">
        <v>35017.919999999998</v>
      </c>
    </row>
    <row r="63" spans="1:14" x14ac:dyDescent="0.25">
      <c r="A63" s="151" t="s">
        <v>39</v>
      </c>
      <c r="B63" s="162">
        <v>20115.830000000002</v>
      </c>
      <c r="C63" s="137">
        <v>4945</v>
      </c>
      <c r="D63" s="137">
        <v>2300</v>
      </c>
      <c r="E63" s="137"/>
      <c r="F63" s="137"/>
      <c r="G63" s="137"/>
      <c r="H63" s="136">
        <v>3823.75</v>
      </c>
      <c r="I63" s="137">
        <v>685575</v>
      </c>
      <c r="J63" s="138"/>
      <c r="K63" s="138"/>
      <c r="L63" s="143">
        <v>5000</v>
      </c>
      <c r="M63" s="146">
        <f t="shared" si="6"/>
        <v>721759.58</v>
      </c>
      <c r="N63" s="146">
        <v>721759.58</v>
      </c>
    </row>
    <row r="64" spans="1:14" x14ac:dyDescent="0.25">
      <c r="A64" s="151" t="s">
        <v>40</v>
      </c>
      <c r="B64" s="162">
        <v>20115.830000000002</v>
      </c>
      <c r="C64" s="137">
        <v>4945</v>
      </c>
      <c r="D64" s="137"/>
      <c r="E64" s="137"/>
      <c r="F64" s="137"/>
      <c r="G64" s="137"/>
      <c r="H64" s="136">
        <v>3823.75</v>
      </c>
      <c r="I64" s="137"/>
      <c r="J64" s="138"/>
      <c r="K64" s="138"/>
      <c r="L64" s="143"/>
      <c r="M64" s="146">
        <f t="shared" si="6"/>
        <v>28884.58</v>
      </c>
      <c r="N64" s="146">
        <v>28884.58</v>
      </c>
    </row>
    <row r="65" spans="1:15" x14ac:dyDescent="0.25">
      <c r="A65" s="151" t="s">
        <v>41</v>
      </c>
      <c r="B65" s="162">
        <v>20115.830000000002</v>
      </c>
      <c r="C65" s="137">
        <v>4945</v>
      </c>
      <c r="D65" s="137"/>
      <c r="E65" s="137"/>
      <c r="F65" s="137"/>
      <c r="G65" s="137"/>
      <c r="H65" s="136">
        <v>3823.75</v>
      </c>
      <c r="I65" s="137"/>
      <c r="J65" s="138"/>
      <c r="K65" s="138"/>
      <c r="L65" s="143">
        <v>10000</v>
      </c>
      <c r="M65" s="146">
        <f t="shared" si="6"/>
        <v>38884.58</v>
      </c>
      <c r="N65" s="146">
        <v>38884.58</v>
      </c>
    </row>
    <row r="66" spans="1:15" x14ac:dyDescent="0.25">
      <c r="A66" s="151" t="s">
        <v>42</v>
      </c>
      <c r="B66" s="162">
        <v>20115.830000000002</v>
      </c>
      <c r="C66" s="137">
        <v>4945</v>
      </c>
      <c r="D66" s="137"/>
      <c r="E66" s="137"/>
      <c r="F66" s="137"/>
      <c r="G66" s="137"/>
      <c r="H66" s="136">
        <v>3823.75</v>
      </c>
      <c r="I66" s="137"/>
      <c r="J66" s="138"/>
      <c r="K66" s="138"/>
      <c r="L66" s="143"/>
      <c r="M66" s="146">
        <f t="shared" si="6"/>
        <v>28884.58</v>
      </c>
      <c r="N66" s="146">
        <v>28884.58</v>
      </c>
    </row>
    <row r="67" spans="1:15" x14ac:dyDescent="0.25">
      <c r="A67" s="165" t="s">
        <v>43</v>
      </c>
      <c r="B67" s="162">
        <v>20115.87</v>
      </c>
      <c r="C67" s="137">
        <v>4945</v>
      </c>
      <c r="D67" s="137"/>
      <c r="E67" s="137"/>
      <c r="F67" s="137"/>
      <c r="G67" s="137"/>
      <c r="H67" s="136">
        <v>3823.75</v>
      </c>
      <c r="I67" s="137"/>
      <c r="J67" s="138"/>
      <c r="K67" s="138"/>
      <c r="L67" s="143">
        <v>5000</v>
      </c>
      <c r="M67" s="146">
        <f t="shared" si="6"/>
        <v>33884.619999999995</v>
      </c>
      <c r="N67" s="146">
        <v>33884.619999999995</v>
      </c>
    </row>
    <row r="68" spans="1:15" x14ac:dyDescent="0.25">
      <c r="A68" s="163" t="s">
        <v>152</v>
      </c>
      <c r="B68" s="148">
        <f t="shared" ref="B68:J68" si="7">SUM(B56:B67)</f>
        <v>241390.00000000006</v>
      </c>
      <c r="C68" s="148">
        <f t="shared" si="7"/>
        <v>59340</v>
      </c>
      <c r="D68" s="148">
        <f t="shared" si="7"/>
        <v>9200</v>
      </c>
      <c r="E68" s="148">
        <f t="shared" si="7"/>
        <v>11500</v>
      </c>
      <c r="F68" s="148">
        <f t="shared" si="7"/>
        <v>8280</v>
      </c>
      <c r="G68" s="148">
        <f t="shared" si="7"/>
        <v>4830</v>
      </c>
      <c r="H68" s="148">
        <f t="shared" si="7"/>
        <v>45885</v>
      </c>
      <c r="I68" s="148">
        <f t="shared" si="7"/>
        <v>1151575</v>
      </c>
      <c r="J68" s="148">
        <f t="shared" si="7"/>
        <v>218000</v>
      </c>
      <c r="K68" s="149"/>
      <c r="L68" s="148">
        <f>SUM(L56:L67)</f>
        <v>35000</v>
      </c>
      <c r="M68" s="178">
        <f>SUM(M56:M67)</f>
        <v>1785000.0000000005</v>
      </c>
      <c r="N68" s="178">
        <v>1785000.0000000005</v>
      </c>
    </row>
    <row r="73" spans="1:15" ht="23.25" x14ac:dyDescent="0.35">
      <c r="B73" s="131" t="s">
        <v>201</v>
      </c>
      <c r="C73" s="131"/>
      <c r="D73" s="131"/>
    </row>
    <row r="74" spans="1:15" x14ac:dyDescent="0.25">
      <c r="B74" s="174"/>
      <c r="C74" s="318" t="s">
        <v>170</v>
      </c>
      <c r="D74" s="319"/>
      <c r="E74" s="319"/>
      <c r="F74" s="319"/>
      <c r="G74" s="319"/>
      <c r="H74" s="319"/>
      <c r="I74" s="319"/>
      <c r="J74" s="319"/>
      <c r="K74" s="319"/>
      <c r="L74" s="320"/>
      <c r="M74" s="175"/>
      <c r="N74" s="179"/>
      <c r="O74" s="179"/>
    </row>
    <row r="75" spans="1:15" ht="51.75" x14ac:dyDescent="0.25">
      <c r="B75" s="151"/>
      <c r="C75" s="176" t="s">
        <v>135</v>
      </c>
      <c r="D75" s="173" t="s">
        <v>142</v>
      </c>
      <c r="E75" s="173" t="s">
        <v>175</v>
      </c>
      <c r="F75" s="173" t="s">
        <v>144</v>
      </c>
      <c r="G75" s="173" t="s">
        <v>176</v>
      </c>
      <c r="H75" s="173" t="s">
        <v>177</v>
      </c>
      <c r="I75" s="173" t="s">
        <v>145</v>
      </c>
      <c r="J75" s="173" t="s">
        <v>160</v>
      </c>
      <c r="K75" s="177" t="s">
        <v>161</v>
      </c>
      <c r="L75" s="173" t="s">
        <v>162</v>
      </c>
      <c r="M75" s="154" t="s">
        <v>203</v>
      </c>
      <c r="N75" s="180" t="s">
        <v>147</v>
      </c>
      <c r="O75" s="180" t="s">
        <v>185</v>
      </c>
    </row>
    <row r="76" spans="1:15" x14ac:dyDescent="0.25">
      <c r="B76" s="151" t="s">
        <v>31</v>
      </c>
      <c r="C76" s="162">
        <v>20115.830000000002</v>
      </c>
      <c r="D76" s="137">
        <v>4945</v>
      </c>
      <c r="E76" s="137"/>
      <c r="F76" s="137"/>
      <c r="G76" s="137">
        <v>8280</v>
      </c>
      <c r="H76" s="137"/>
      <c r="I76" s="136">
        <v>3823.75</v>
      </c>
      <c r="J76" s="137">
        <v>466000</v>
      </c>
      <c r="K76" s="138">
        <v>3000</v>
      </c>
      <c r="L76" s="138" t="s">
        <v>178</v>
      </c>
      <c r="M76" s="143"/>
      <c r="N76" s="156">
        <f t="shared" ref="N76:N87" si="8">SUM(C76:M76)</f>
        <v>506164.58</v>
      </c>
      <c r="O76" s="156">
        <v>506164.58</v>
      </c>
    </row>
    <row r="77" spans="1:15" x14ac:dyDescent="0.25">
      <c r="B77" s="151" t="s">
        <v>33</v>
      </c>
      <c r="C77" s="162">
        <v>20115.830000000002</v>
      </c>
      <c r="D77" s="137">
        <v>4945</v>
      </c>
      <c r="E77" s="137"/>
      <c r="F77" s="137"/>
      <c r="G77" s="137"/>
      <c r="H77" s="137"/>
      <c r="I77" s="136">
        <v>3823.75</v>
      </c>
      <c r="J77" s="137"/>
      <c r="K77" s="138"/>
      <c r="L77" s="138"/>
      <c r="M77" s="143">
        <v>5000</v>
      </c>
      <c r="N77" s="146">
        <f t="shared" si="8"/>
        <v>33884.58</v>
      </c>
      <c r="O77" s="146">
        <v>33884.58</v>
      </c>
    </row>
    <row r="78" spans="1:15" x14ac:dyDescent="0.25">
      <c r="B78" s="151" t="s">
        <v>34</v>
      </c>
      <c r="C78" s="162">
        <v>20115.830000000002</v>
      </c>
      <c r="D78" s="137">
        <v>4945</v>
      </c>
      <c r="E78" s="137"/>
      <c r="F78" s="137"/>
      <c r="G78" s="137"/>
      <c r="H78" s="137"/>
      <c r="I78" s="136">
        <v>3823.75</v>
      </c>
      <c r="J78" s="137"/>
      <c r="K78" s="138"/>
      <c r="L78" s="138"/>
      <c r="M78" s="143"/>
      <c r="N78" s="146">
        <f t="shared" si="8"/>
        <v>28884.58</v>
      </c>
      <c r="O78" s="146">
        <v>28884.58</v>
      </c>
    </row>
    <row r="79" spans="1:15" x14ac:dyDescent="0.25">
      <c r="B79" s="151" t="s">
        <v>35</v>
      </c>
      <c r="C79" s="162">
        <v>20115.830000000002</v>
      </c>
      <c r="D79" s="137">
        <v>4945</v>
      </c>
      <c r="E79" s="137"/>
      <c r="F79" s="137"/>
      <c r="G79" s="137"/>
      <c r="H79" s="137"/>
      <c r="I79" s="136">
        <v>3823.75</v>
      </c>
      <c r="J79" s="137"/>
      <c r="K79" s="138">
        <v>100000</v>
      </c>
      <c r="L79" s="138" t="s">
        <v>180</v>
      </c>
      <c r="M79" s="143">
        <v>5000</v>
      </c>
      <c r="N79" s="146">
        <f t="shared" si="8"/>
        <v>133884.58000000002</v>
      </c>
      <c r="O79" s="146">
        <v>133884.58000000002</v>
      </c>
    </row>
    <row r="80" spans="1:15" x14ac:dyDescent="0.25">
      <c r="B80" s="151" t="s">
        <v>36</v>
      </c>
      <c r="C80" s="162">
        <v>20115.830000000002</v>
      </c>
      <c r="D80" s="137">
        <v>4945</v>
      </c>
      <c r="E80" s="137">
        <v>2300</v>
      </c>
      <c r="F80" s="137"/>
      <c r="G80" s="137"/>
      <c r="H80" s="137"/>
      <c r="I80" s="136">
        <v>3823.75</v>
      </c>
      <c r="J80" s="137"/>
      <c r="K80" s="138">
        <v>150000</v>
      </c>
      <c r="L80" s="138" t="s">
        <v>180</v>
      </c>
      <c r="M80" s="143"/>
      <c r="N80" s="146">
        <f t="shared" si="8"/>
        <v>181184.58000000002</v>
      </c>
      <c r="O80" s="146">
        <v>181184.58000000002</v>
      </c>
    </row>
    <row r="81" spans="2:15" x14ac:dyDescent="0.25">
      <c r="B81" s="151" t="s">
        <v>37</v>
      </c>
      <c r="C81" s="162">
        <v>20115.830000000002</v>
      </c>
      <c r="D81" s="137">
        <v>4945</v>
      </c>
      <c r="E81" s="137">
        <v>2300</v>
      </c>
      <c r="F81" s="137">
        <v>5750</v>
      </c>
      <c r="G81" s="137"/>
      <c r="H81" s="137">
        <v>4830</v>
      </c>
      <c r="I81" s="136">
        <v>3823.75</v>
      </c>
      <c r="J81" s="137"/>
      <c r="K81" s="138"/>
      <c r="L81" s="138" t="s">
        <v>179</v>
      </c>
      <c r="M81" s="143">
        <v>5000</v>
      </c>
      <c r="N81" s="146">
        <f t="shared" si="8"/>
        <v>46764.58</v>
      </c>
      <c r="O81" s="146">
        <v>46764.58</v>
      </c>
    </row>
    <row r="82" spans="2:15" x14ac:dyDescent="0.25">
      <c r="B82" s="151" t="s">
        <v>38</v>
      </c>
      <c r="C82" s="162">
        <v>20115.830000000002</v>
      </c>
      <c r="D82" s="137">
        <v>17442</v>
      </c>
      <c r="E82" s="137">
        <v>2300</v>
      </c>
      <c r="F82" s="137">
        <v>5750</v>
      </c>
      <c r="G82" s="137"/>
      <c r="H82" s="137"/>
      <c r="I82" s="136">
        <v>5740</v>
      </c>
      <c r="J82" s="137"/>
      <c r="K82" s="138">
        <v>125000</v>
      </c>
      <c r="L82" s="138"/>
      <c r="M82" s="143"/>
      <c r="N82" s="146">
        <f t="shared" si="8"/>
        <v>176347.83000000002</v>
      </c>
      <c r="O82" s="146">
        <v>176347.83000000002</v>
      </c>
    </row>
    <row r="83" spans="2:15" x14ac:dyDescent="0.25">
      <c r="B83" s="151" t="s">
        <v>39</v>
      </c>
      <c r="C83" s="162">
        <v>20115.830000000002</v>
      </c>
      <c r="D83" s="137">
        <v>17442</v>
      </c>
      <c r="E83" s="137">
        <v>2300</v>
      </c>
      <c r="F83" s="137"/>
      <c r="G83" s="137"/>
      <c r="H83" s="137"/>
      <c r="I83" s="136">
        <v>5740</v>
      </c>
      <c r="J83" s="137">
        <v>764095</v>
      </c>
      <c r="K83" s="138"/>
      <c r="L83" s="138"/>
      <c r="M83" s="143">
        <v>5000</v>
      </c>
      <c r="N83" s="146">
        <f t="shared" si="8"/>
        <v>814692.83</v>
      </c>
      <c r="O83" s="146">
        <v>814692.83</v>
      </c>
    </row>
    <row r="84" spans="2:15" x14ac:dyDescent="0.25">
      <c r="B84" s="151" t="s">
        <v>40</v>
      </c>
      <c r="C84" s="162">
        <v>20115.830000000002</v>
      </c>
      <c r="D84" s="137">
        <v>17442</v>
      </c>
      <c r="E84" s="137"/>
      <c r="F84" s="137"/>
      <c r="G84" s="137"/>
      <c r="H84" s="137"/>
      <c r="I84" s="136">
        <v>5740</v>
      </c>
      <c r="J84" s="137"/>
      <c r="K84" s="138"/>
      <c r="L84" s="138"/>
      <c r="M84" s="143">
        <v>15000</v>
      </c>
      <c r="N84" s="146">
        <f t="shared" si="8"/>
        <v>58297.83</v>
      </c>
      <c r="O84" s="146">
        <v>58297.83</v>
      </c>
    </row>
    <row r="85" spans="2:15" x14ac:dyDescent="0.25">
      <c r="B85" s="151" t="s">
        <v>41</v>
      </c>
      <c r="C85" s="162">
        <v>20115.830000000002</v>
      </c>
      <c r="D85" s="137">
        <v>17442</v>
      </c>
      <c r="E85" s="137"/>
      <c r="F85" s="137"/>
      <c r="G85" s="137"/>
      <c r="H85" s="137"/>
      <c r="I85" s="136">
        <v>5740</v>
      </c>
      <c r="J85" s="137"/>
      <c r="K85" s="138"/>
      <c r="L85" s="138"/>
      <c r="M85" s="143">
        <v>10000</v>
      </c>
      <c r="N85" s="146">
        <f t="shared" si="8"/>
        <v>53297.83</v>
      </c>
      <c r="O85" s="146">
        <v>53297.83</v>
      </c>
    </row>
    <row r="86" spans="2:15" x14ac:dyDescent="0.25">
      <c r="B86" s="151" t="s">
        <v>42</v>
      </c>
      <c r="C86" s="162">
        <v>20115.830000000002</v>
      </c>
      <c r="D86" s="137">
        <v>17442</v>
      </c>
      <c r="E86" s="137"/>
      <c r="F86" s="137"/>
      <c r="G86" s="137"/>
      <c r="H86" s="137"/>
      <c r="I86" s="136">
        <v>5740</v>
      </c>
      <c r="J86" s="137"/>
      <c r="K86" s="138"/>
      <c r="L86" s="138"/>
      <c r="M86" s="143"/>
      <c r="N86" s="146">
        <f t="shared" si="8"/>
        <v>43297.83</v>
      </c>
      <c r="O86" s="146">
        <v>43297.83</v>
      </c>
    </row>
    <row r="87" spans="2:15" x14ac:dyDescent="0.25">
      <c r="B87" s="165" t="s">
        <v>43</v>
      </c>
      <c r="C87" s="162">
        <v>20115.87</v>
      </c>
      <c r="D87" s="137">
        <v>17440</v>
      </c>
      <c r="E87" s="137"/>
      <c r="F87" s="137"/>
      <c r="G87" s="137"/>
      <c r="H87" s="137"/>
      <c r="I87" s="136">
        <v>5742.5</v>
      </c>
      <c r="J87" s="137"/>
      <c r="K87" s="138"/>
      <c r="L87" s="138"/>
      <c r="M87" s="143">
        <v>5000</v>
      </c>
      <c r="N87" s="146">
        <f t="shared" si="8"/>
        <v>48298.369999999995</v>
      </c>
      <c r="O87" s="146">
        <v>48298.369999999995</v>
      </c>
    </row>
    <row r="88" spans="2:15" x14ac:dyDescent="0.25">
      <c r="B88" s="163" t="s">
        <v>152</v>
      </c>
      <c r="C88" s="148">
        <f t="shared" ref="C88:K88" si="9">SUM(C76:C87)</f>
        <v>241390.00000000006</v>
      </c>
      <c r="D88" s="148">
        <f t="shared" si="9"/>
        <v>134320</v>
      </c>
      <c r="E88" s="148">
        <f t="shared" si="9"/>
        <v>9200</v>
      </c>
      <c r="F88" s="148">
        <f t="shared" si="9"/>
        <v>11500</v>
      </c>
      <c r="G88" s="148">
        <f t="shared" si="9"/>
        <v>8280</v>
      </c>
      <c r="H88" s="148">
        <f t="shared" si="9"/>
        <v>4830</v>
      </c>
      <c r="I88" s="148">
        <f t="shared" si="9"/>
        <v>57385</v>
      </c>
      <c r="J88" s="148">
        <f t="shared" si="9"/>
        <v>1230095</v>
      </c>
      <c r="K88" s="148">
        <f t="shared" si="9"/>
        <v>378000</v>
      </c>
      <c r="L88" s="204">
        <f>SUM(C88:K88)</f>
        <v>2075000</v>
      </c>
      <c r="M88" s="148">
        <f>SUM(M76:M87)</f>
        <v>50000</v>
      </c>
      <c r="N88" s="178">
        <f>SUM(N76:N87)</f>
        <v>2125000.0000000005</v>
      </c>
      <c r="O88" s="178">
        <v>2125000.0000000005</v>
      </c>
    </row>
    <row r="92" spans="2:15" ht="23.25" x14ac:dyDescent="0.35">
      <c r="B92" s="203" t="s">
        <v>201</v>
      </c>
      <c r="C92" s="203"/>
      <c r="D92" s="203"/>
      <c r="E92" s="203"/>
      <c r="F92" s="203"/>
      <c r="G92" s="66"/>
      <c r="H92" s="66"/>
      <c r="I92" s="66"/>
      <c r="J92" s="66"/>
      <c r="K92" s="66"/>
      <c r="L92" s="66"/>
      <c r="M92" s="66"/>
    </row>
    <row r="93" spans="2:15" x14ac:dyDescent="0.25">
      <c r="B93" s="140"/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</row>
    <row r="94" spans="2:15" x14ac:dyDescent="0.25">
      <c r="B94" s="133" t="s">
        <v>193</v>
      </c>
      <c r="C94" s="133" t="s">
        <v>194</v>
      </c>
      <c r="D94" s="133">
        <v>116745</v>
      </c>
      <c r="E94" s="133">
        <v>116746</v>
      </c>
      <c r="F94" s="133">
        <v>116747</v>
      </c>
      <c r="G94" s="133">
        <v>116856</v>
      </c>
      <c r="H94" s="133">
        <v>116748</v>
      </c>
      <c r="I94" s="133">
        <v>116749</v>
      </c>
      <c r="J94" s="133">
        <v>116749</v>
      </c>
      <c r="K94" s="133" t="s">
        <v>195</v>
      </c>
      <c r="L94" s="140"/>
      <c r="M94" s="140"/>
    </row>
    <row r="95" spans="2:15" ht="51.75" x14ac:dyDescent="0.25">
      <c r="B95" s="132"/>
      <c r="C95" s="133" t="s">
        <v>135</v>
      </c>
      <c r="D95" s="133" t="s">
        <v>142</v>
      </c>
      <c r="E95" s="133" t="s">
        <v>196</v>
      </c>
      <c r="F95" s="133" t="s">
        <v>144</v>
      </c>
      <c r="G95" s="133" t="s">
        <v>197</v>
      </c>
      <c r="H95" s="133" t="s">
        <v>198</v>
      </c>
      <c r="I95" s="133" t="s">
        <v>145</v>
      </c>
      <c r="J95" s="133" t="s">
        <v>160</v>
      </c>
      <c r="K95" s="133" t="s">
        <v>161</v>
      </c>
      <c r="L95" s="134" t="s">
        <v>147</v>
      </c>
      <c r="M95" s="133" t="s">
        <v>162</v>
      </c>
    </row>
    <row r="96" spans="2:15" x14ac:dyDescent="0.25">
      <c r="B96" s="135" t="s">
        <v>31</v>
      </c>
      <c r="C96" s="201">
        <v>20115.849999999999</v>
      </c>
      <c r="D96" s="202">
        <v>4945</v>
      </c>
      <c r="E96" s="137"/>
      <c r="F96" s="137"/>
      <c r="G96" s="202">
        <v>8280</v>
      </c>
      <c r="H96" s="137"/>
      <c r="I96" s="201">
        <v>3823.75</v>
      </c>
      <c r="J96" s="202">
        <v>466000</v>
      </c>
      <c r="K96" s="143">
        <v>3000</v>
      </c>
      <c r="L96" s="130">
        <f t="shared" ref="L96:L100" si="10">SUM(C96:K96)</f>
        <v>506164.6</v>
      </c>
      <c r="M96" s="138" t="s">
        <v>199</v>
      </c>
    </row>
    <row r="97" spans="2:13" x14ac:dyDescent="0.25">
      <c r="B97" s="135" t="s">
        <v>33</v>
      </c>
      <c r="C97" s="201">
        <v>20115.849999999999</v>
      </c>
      <c r="D97" s="202">
        <v>4945</v>
      </c>
      <c r="E97" s="137"/>
      <c r="F97" s="137"/>
      <c r="G97" s="137"/>
      <c r="H97" s="137"/>
      <c r="I97" s="201">
        <v>3823.75</v>
      </c>
      <c r="J97" s="137"/>
      <c r="K97" s="138"/>
      <c r="L97" s="130">
        <f t="shared" si="10"/>
        <v>28884.6</v>
      </c>
      <c r="M97" s="138"/>
    </row>
    <row r="98" spans="2:13" x14ac:dyDescent="0.25">
      <c r="B98" s="135" t="s">
        <v>34</v>
      </c>
      <c r="C98" s="201">
        <v>20115.849999999999</v>
      </c>
      <c r="D98" s="202">
        <v>4945</v>
      </c>
      <c r="E98" s="137"/>
      <c r="F98" s="137"/>
      <c r="G98" s="137"/>
      <c r="H98" s="137"/>
      <c r="I98" s="201">
        <v>3823.75</v>
      </c>
      <c r="J98" s="137"/>
      <c r="K98" s="138"/>
      <c r="L98" s="130">
        <f t="shared" si="10"/>
        <v>28884.6</v>
      </c>
      <c r="M98" s="138"/>
    </row>
    <row r="99" spans="2:13" x14ac:dyDescent="0.25">
      <c r="B99" s="135" t="s">
        <v>35</v>
      </c>
      <c r="C99" s="201">
        <v>20115.849999999999</v>
      </c>
      <c r="D99" s="202">
        <v>4945</v>
      </c>
      <c r="E99" s="137">
        <v>2300</v>
      </c>
      <c r="F99" s="137"/>
      <c r="G99" s="137"/>
      <c r="I99" s="201">
        <v>3823.75</v>
      </c>
      <c r="J99" s="137"/>
      <c r="L99" s="130">
        <f t="shared" si="10"/>
        <v>31184.6</v>
      </c>
      <c r="M99" s="138"/>
    </row>
    <row r="100" spans="2:13" x14ac:dyDescent="0.25">
      <c r="B100" s="135" t="s">
        <v>36</v>
      </c>
      <c r="C100" s="201">
        <v>20115.849999999999</v>
      </c>
      <c r="D100" s="202">
        <v>4945</v>
      </c>
      <c r="E100" s="202">
        <v>2300</v>
      </c>
      <c r="G100" s="137"/>
      <c r="H100" s="137"/>
      <c r="I100" s="201">
        <v>3823.75</v>
      </c>
      <c r="J100" s="137"/>
      <c r="K100" s="202">
        <v>100000</v>
      </c>
      <c r="L100" s="130">
        <f t="shared" si="10"/>
        <v>131184.6</v>
      </c>
      <c r="M100" s="138" t="s">
        <v>167</v>
      </c>
    </row>
    <row r="101" spans="2:13" x14ac:dyDescent="0.25">
      <c r="B101" s="135" t="s">
        <v>37</v>
      </c>
      <c r="C101" s="201">
        <v>20115.849999999999</v>
      </c>
      <c r="D101" s="202">
        <v>4945</v>
      </c>
      <c r="E101" s="202">
        <v>2300</v>
      </c>
      <c r="F101" s="202">
        <v>5750</v>
      </c>
      <c r="G101" s="137"/>
      <c r="H101" s="202">
        <v>4830</v>
      </c>
      <c r="I101" s="201">
        <v>3823.75</v>
      </c>
      <c r="J101" s="137"/>
      <c r="K101" s="202">
        <v>150000</v>
      </c>
      <c r="L101" s="130">
        <f>SUM(C101:K101)</f>
        <v>191764.6</v>
      </c>
      <c r="M101" s="138" t="s">
        <v>167</v>
      </c>
    </row>
    <row r="102" spans="2:13" x14ac:dyDescent="0.25">
      <c r="B102" s="135" t="s">
        <v>38</v>
      </c>
      <c r="C102" s="201">
        <v>20115.849999999999</v>
      </c>
      <c r="D102" s="202">
        <v>17442</v>
      </c>
      <c r="E102" s="202">
        <v>2300</v>
      </c>
      <c r="F102" s="202">
        <v>5750</v>
      </c>
      <c r="G102" s="137"/>
      <c r="H102" s="137"/>
      <c r="I102" s="201">
        <v>5740</v>
      </c>
      <c r="J102" s="137"/>
      <c r="K102" s="138"/>
      <c r="L102" s="130">
        <f>SUM(C102:K102)</f>
        <v>51347.85</v>
      </c>
      <c r="M102" s="138"/>
    </row>
    <row r="103" spans="2:13" x14ac:dyDescent="0.25">
      <c r="B103" s="135" t="s">
        <v>39</v>
      </c>
      <c r="C103" s="201">
        <v>20115.849999999999</v>
      </c>
      <c r="D103" s="202">
        <v>17442</v>
      </c>
      <c r="F103" s="137"/>
      <c r="G103" s="137"/>
      <c r="H103" s="137"/>
      <c r="I103" s="201">
        <v>5740</v>
      </c>
      <c r="J103" s="202">
        <v>764095</v>
      </c>
      <c r="K103" s="202">
        <v>125000</v>
      </c>
      <c r="L103" s="130">
        <f t="shared" ref="L103:L107" si="11">SUM(C103:K103)</f>
        <v>932392.85</v>
      </c>
      <c r="M103" s="138" t="s">
        <v>202</v>
      </c>
    </row>
    <row r="104" spans="2:13" x14ac:dyDescent="0.25">
      <c r="B104" s="135" t="s">
        <v>40</v>
      </c>
      <c r="C104" s="136">
        <v>20115.849999999999</v>
      </c>
      <c r="D104" s="137">
        <v>17442</v>
      </c>
      <c r="E104" s="137"/>
      <c r="F104" s="137"/>
      <c r="G104" s="137"/>
      <c r="H104" s="137"/>
      <c r="I104" s="136">
        <v>5740</v>
      </c>
      <c r="J104" s="137"/>
      <c r="K104" s="138"/>
      <c r="L104" s="130">
        <f t="shared" si="11"/>
        <v>43297.85</v>
      </c>
      <c r="M104" s="138"/>
    </row>
    <row r="105" spans="2:13" x14ac:dyDescent="0.25">
      <c r="B105" s="135" t="s">
        <v>41</v>
      </c>
      <c r="C105" s="136">
        <v>20115.849999999999</v>
      </c>
      <c r="D105" s="137">
        <v>17442</v>
      </c>
      <c r="E105" s="137"/>
      <c r="F105" s="137"/>
      <c r="G105" s="137"/>
      <c r="H105" s="137"/>
      <c r="I105" s="136">
        <v>5740</v>
      </c>
      <c r="J105" s="137"/>
      <c r="K105" s="138"/>
      <c r="L105" s="130">
        <f t="shared" si="11"/>
        <v>43297.85</v>
      </c>
      <c r="M105" s="138"/>
    </row>
    <row r="106" spans="2:13" x14ac:dyDescent="0.25">
      <c r="B106" s="135" t="s">
        <v>42</v>
      </c>
      <c r="C106" s="136">
        <v>20115.849999999999</v>
      </c>
      <c r="D106" s="137">
        <v>17442</v>
      </c>
      <c r="E106" s="137"/>
      <c r="F106" s="137"/>
      <c r="G106" s="137"/>
      <c r="H106" s="137"/>
      <c r="I106" s="136">
        <v>5740</v>
      </c>
      <c r="J106" s="137"/>
      <c r="K106" s="138"/>
      <c r="L106" s="130">
        <f t="shared" si="11"/>
        <v>43297.85</v>
      </c>
      <c r="M106" s="138"/>
    </row>
    <row r="107" spans="2:13" x14ac:dyDescent="0.25">
      <c r="B107" s="135" t="s">
        <v>43</v>
      </c>
      <c r="C107" s="136">
        <v>20115.650000000001</v>
      </c>
      <c r="D107" s="137">
        <v>17440</v>
      </c>
      <c r="E107" s="137"/>
      <c r="F107" s="137"/>
      <c r="G107" s="137"/>
      <c r="H107" s="137"/>
      <c r="I107" s="136">
        <v>5742.5</v>
      </c>
      <c r="J107" s="137"/>
      <c r="K107" s="138"/>
      <c r="L107" s="130">
        <f t="shared" si="11"/>
        <v>43298.15</v>
      </c>
      <c r="M107" s="138"/>
    </row>
    <row r="108" spans="2:13" ht="15.75" thickBot="1" x14ac:dyDescent="0.3">
      <c r="B108" s="139" t="s">
        <v>152</v>
      </c>
      <c r="C108" s="139">
        <f>SUM(C96:C107)</f>
        <v>241390.00000000003</v>
      </c>
      <c r="D108" s="139">
        <f t="shared" ref="D108:J108" si="12">SUM(D96:D107)</f>
        <v>134320</v>
      </c>
      <c r="E108" s="139">
        <f t="shared" si="12"/>
        <v>9200</v>
      </c>
      <c r="F108" s="139">
        <f t="shared" si="12"/>
        <v>11500</v>
      </c>
      <c r="G108" s="139">
        <f t="shared" si="12"/>
        <v>8280</v>
      </c>
      <c r="H108" s="139">
        <f t="shared" si="12"/>
        <v>4830</v>
      </c>
      <c r="I108" s="139">
        <f t="shared" si="12"/>
        <v>57385</v>
      </c>
      <c r="J108" s="139">
        <f t="shared" si="12"/>
        <v>1230095</v>
      </c>
      <c r="K108" s="139">
        <f>SUM(K96:K107)</f>
        <v>378000</v>
      </c>
      <c r="L108" s="139">
        <f>SUM(L96:L107)</f>
        <v>2075000</v>
      </c>
      <c r="M108" s="140"/>
    </row>
    <row r="109" spans="2:13" ht="15.75" thickTop="1" x14ac:dyDescent="0.25"/>
    <row r="111" spans="2:13" ht="23.25" x14ac:dyDescent="0.35">
      <c r="B111" s="131" t="s">
        <v>192</v>
      </c>
      <c r="C111" s="131"/>
      <c r="D111" s="131"/>
      <c r="E111" s="131"/>
      <c r="F111" s="131"/>
    </row>
    <row r="112" spans="2:13" x14ac:dyDescent="0.25">
      <c r="B112" s="140"/>
      <c r="C112" s="140"/>
      <c r="D112" s="140"/>
      <c r="E112" s="140"/>
      <c r="F112" s="140"/>
      <c r="G112" s="140"/>
      <c r="H112" s="140"/>
      <c r="I112" s="140"/>
      <c r="J112" s="140"/>
      <c r="K112" s="140"/>
      <c r="L112" s="140"/>
      <c r="M112" s="140"/>
    </row>
    <row r="113" spans="2:13" x14ac:dyDescent="0.25">
      <c r="B113" s="133" t="s">
        <v>193</v>
      </c>
      <c r="C113" s="133" t="s">
        <v>194</v>
      </c>
      <c r="D113" s="133">
        <v>116745</v>
      </c>
      <c r="E113" s="133">
        <v>116746</v>
      </c>
      <c r="F113" s="133">
        <v>116747</v>
      </c>
      <c r="G113" s="133">
        <v>116856</v>
      </c>
      <c r="H113" s="133">
        <v>116748</v>
      </c>
      <c r="I113" s="133">
        <v>116749</v>
      </c>
      <c r="J113" s="133">
        <v>116749</v>
      </c>
      <c r="K113" s="133" t="s">
        <v>195</v>
      </c>
      <c r="L113" s="140"/>
      <c r="M113" s="140"/>
    </row>
    <row r="114" spans="2:13" ht="51.75" x14ac:dyDescent="0.25">
      <c r="B114" s="132"/>
      <c r="C114" s="133" t="s">
        <v>135</v>
      </c>
      <c r="D114" s="133" t="s">
        <v>142</v>
      </c>
      <c r="E114" s="133" t="s">
        <v>196</v>
      </c>
      <c r="F114" s="133" t="s">
        <v>144</v>
      </c>
      <c r="G114" s="133" t="s">
        <v>197</v>
      </c>
      <c r="H114" s="133" t="s">
        <v>198</v>
      </c>
      <c r="I114" s="133" t="s">
        <v>145</v>
      </c>
      <c r="J114" s="133" t="s">
        <v>160</v>
      </c>
      <c r="K114" s="133" t="s">
        <v>161</v>
      </c>
      <c r="L114" s="134" t="s">
        <v>147</v>
      </c>
      <c r="M114" s="133" t="s">
        <v>162</v>
      </c>
    </row>
    <row r="115" spans="2:13" x14ac:dyDescent="0.25">
      <c r="B115" s="135" t="s">
        <v>31</v>
      </c>
      <c r="C115" s="201">
        <v>20115.849999999999</v>
      </c>
      <c r="D115" s="202">
        <v>4945</v>
      </c>
      <c r="E115" s="137"/>
      <c r="F115" s="137"/>
      <c r="G115" s="202">
        <v>8280</v>
      </c>
      <c r="H115" s="137"/>
      <c r="I115" s="201">
        <v>3823.75</v>
      </c>
      <c r="J115" s="202">
        <v>466000</v>
      </c>
      <c r="K115" s="143">
        <v>3000</v>
      </c>
      <c r="L115" s="130">
        <f t="shared" ref="L115:L126" si="13">SUM(C115:K115)</f>
        <v>506164.6</v>
      </c>
      <c r="M115" s="138" t="s">
        <v>199</v>
      </c>
    </row>
    <row r="116" spans="2:13" x14ac:dyDescent="0.25">
      <c r="B116" s="135" t="s">
        <v>33</v>
      </c>
      <c r="C116" s="201">
        <v>20115.849999999999</v>
      </c>
      <c r="D116" s="202">
        <v>4945</v>
      </c>
      <c r="E116" s="137"/>
      <c r="F116" s="137"/>
      <c r="G116" s="137"/>
      <c r="H116" s="137"/>
      <c r="I116" s="201">
        <v>3823.75</v>
      </c>
      <c r="J116" s="137"/>
      <c r="K116" s="138"/>
      <c r="L116" s="130">
        <f t="shared" si="13"/>
        <v>28884.6</v>
      </c>
      <c r="M116" s="138"/>
    </row>
    <row r="117" spans="2:13" x14ac:dyDescent="0.25">
      <c r="B117" s="135" t="s">
        <v>34</v>
      </c>
      <c r="C117" s="201">
        <v>20115.849999999999</v>
      </c>
      <c r="D117" s="202">
        <v>4945</v>
      </c>
      <c r="E117" s="137"/>
      <c r="F117" s="137"/>
      <c r="G117" s="137"/>
      <c r="H117" s="137"/>
      <c r="I117" s="201">
        <v>3823.75</v>
      </c>
      <c r="J117" s="137"/>
      <c r="K117" s="138"/>
      <c r="L117" s="130">
        <f t="shared" si="13"/>
        <v>28884.6</v>
      </c>
      <c r="M117" s="138"/>
    </row>
    <row r="118" spans="2:13" x14ac:dyDescent="0.25">
      <c r="B118" s="135" t="s">
        <v>35</v>
      </c>
      <c r="C118" s="201">
        <v>20115.849999999999</v>
      </c>
      <c r="D118" s="202">
        <v>4945</v>
      </c>
      <c r="E118" s="137">
        <v>2300</v>
      </c>
      <c r="F118" s="137"/>
      <c r="G118" s="137"/>
      <c r="I118" s="201">
        <v>3823.75</v>
      </c>
      <c r="J118" s="137"/>
      <c r="L118" s="130">
        <f t="shared" si="13"/>
        <v>31184.6</v>
      </c>
      <c r="M118" s="138"/>
    </row>
    <row r="119" spans="2:13" x14ac:dyDescent="0.25">
      <c r="B119" s="135" t="s">
        <v>36</v>
      </c>
      <c r="C119" s="201">
        <v>20115.849999999999</v>
      </c>
      <c r="D119" s="202">
        <v>4945</v>
      </c>
      <c r="E119" s="202">
        <v>2300</v>
      </c>
      <c r="G119" s="137"/>
      <c r="H119" s="137"/>
      <c r="I119" s="201">
        <v>3823.75</v>
      </c>
      <c r="J119" s="137"/>
      <c r="K119" s="202">
        <v>100000</v>
      </c>
      <c r="L119" s="130">
        <f t="shared" si="13"/>
        <v>131184.6</v>
      </c>
      <c r="M119" s="138" t="s">
        <v>167</v>
      </c>
    </row>
    <row r="120" spans="2:13" x14ac:dyDescent="0.25">
      <c r="B120" s="135" t="s">
        <v>37</v>
      </c>
      <c r="C120" s="201">
        <v>20115.849999999999</v>
      </c>
      <c r="D120" s="202">
        <v>4945</v>
      </c>
      <c r="E120" s="202">
        <v>2300</v>
      </c>
      <c r="F120" s="202">
        <v>5750</v>
      </c>
      <c r="G120" s="137"/>
      <c r="H120" s="202">
        <v>4830</v>
      </c>
      <c r="I120" s="201">
        <v>3823.75</v>
      </c>
      <c r="J120" s="137"/>
      <c r="K120" s="202">
        <v>100000</v>
      </c>
      <c r="L120" s="130">
        <f>SUM(C120:K120)</f>
        <v>141764.6</v>
      </c>
      <c r="M120" s="138" t="s">
        <v>167</v>
      </c>
    </row>
    <row r="121" spans="2:13" x14ac:dyDescent="0.25">
      <c r="B121" s="135" t="s">
        <v>38</v>
      </c>
      <c r="C121" s="136">
        <v>20115.849999999999</v>
      </c>
      <c r="D121" s="137">
        <v>4945</v>
      </c>
      <c r="E121" s="137">
        <v>2300</v>
      </c>
      <c r="F121" s="137">
        <v>5750</v>
      </c>
      <c r="G121" s="137"/>
      <c r="H121" s="137"/>
      <c r="I121" s="136">
        <v>3823.75</v>
      </c>
      <c r="J121" s="137"/>
      <c r="K121" s="138">
        <v>15000</v>
      </c>
      <c r="L121" s="130">
        <f>SUM(C121:K121)</f>
        <v>51934.6</v>
      </c>
      <c r="M121" s="138" t="s">
        <v>200</v>
      </c>
    </row>
    <row r="122" spans="2:13" x14ac:dyDescent="0.25">
      <c r="B122" s="135" t="s">
        <v>39</v>
      </c>
      <c r="C122" s="136">
        <v>20115.849999999999</v>
      </c>
      <c r="D122" s="137">
        <v>4945</v>
      </c>
      <c r="F122" s="137"/>
      <c r="G122" s="137"/>
      <c r="H122" s="137"/>
      <c r="I122" s="136">
        <v>3823.75</v>
      </c>
      <c r="J122" s="137">
        <v>685575</v>
      </c>
      <c r="K122" s="138"/>
      <c r="L122" s="130">
        <f t="shared" si="13"/>
        <v>714459.6</v>
      </c>
      <c r="M122" s="138"/>
    </row>
    <row r="123" spans="2:13" x14ac:dyDescent="0.25">
      <c r="B123" s="135" t="s">
        <v>40</v>
      </c>
      <c r="C123" s="136">
        <v>20115.849999999999</v>
      </c>
      <c r="D123" s="137">
        <v>4945</v>
      </c>
      <c r="E123" s="137"/>
      <c r="F123" s="137"/>
      <c r="G123" s="137"/>
      <c r="H123" s="137"/>
      <c r="I123" s="136">
        <v>3823.75</v>
      </c>
      <c r="J123" s="137"/>
      <c r="K123" s="138"/>
      <c r="L123" s="130">
        <f t="shared" si="13"/>
        <v>28884.6</v>
      </c>
      <c r="M123" s="138"/>
    </row>
    <row r="124" spans="2:13" x14ac:dyDescent="0.25">
      <c r="B124" s="135" t="s">
        <v>41</v>
      </c>
      <c r="C124" s="136">
        <v>20115.849999999999</v>
      </c>
      <c r="D124" s="137">
        <v>4945</v>
      </c>
      <c r="E124" s="137"/>
      <c r="F124" s="137"/>
      <c r="G124" s="137"/>
      <c r="H124" s="137"/>
      <c r="I124" s="136">
        <v>3823.75</v>
      </c>
      <c r="J124" s="137"/>
      <c r="K124" s="138"/>
      <c r="L124" s="130">
        <f t="shared" si="13"/>
        <v>28884.6</v>
      </c>
      <c r="M124" s="138"/>
    </row>
    <row r="125" spans="2:13" x14ac:dyDescent="0.25">
      <c r="B125" s="135" t="s">
        <v>42</v>
      </c>
      <c r="C125" s="136">
        <v>20115.849999999999</v>
      </c>
      <c r="D125" s="137">
        <v>4945</v>
      </c>
      <c r="E125" s="137"/>
      <c r="F125" s="137"/>
      <c r="G125" s="137"/>
      <c r="H125" s="137"/>
      <c r="I125" s="136">
        <v>3823.75</v>
      </c>
      <c r="J125" s="137"/>
      <c r="K125" s="138"/>
      <c r="L125" s="130">
        <f t="shared" si="13"/>
        <v>28884.6</v>
      </c>
      <c r="M125" s="138"/>
    </row>
    <row r="126" spans="2:13" x14ac:dyDescent="0.25">
      <c r="B126" s="135" t="s">
        <v>43</v>
      </c>
      <c r="C126" s="136">
        <v>20115.650000000001</v>
      </c>
      <c r="D126" s="137">
        <v>4945</v>
      </c>
      <c r="E126" s="137"/>
      <c r="F126" s="137"/>
      <c r="G126" s="137"/>
      <c r="H126" s="137"/>
      <c r="I126" s="136">
        <v>3823.75</v>
      </c>
      <c r="J126" s="137"/>
      <c r="K126" s="138"/>
      <c r="L126" s="130">
        <f t="shared" si="13"/>
        <v>28884.400000000001</v>
      </c>
      <c r="M126" s="138"/>
    </row>
    <row r="127" spans="2:13" ht="15.75" thickBot="1" x14ac:dyDescent="0.3">
      <c r="B127" s="139" t="s">
        <v>152</v>
      </c>
      <c r="C127" s="139">
        <f>SUM(C115:C126)</f>
        <v>241390.00000000003</v>
      </c>
      <c r="D127" s="139">
        <f t="shared" ref="D127:J127" si="14">SUM(D115:D126)</f>
        <v>59340</v>
      </c>
      <c r="E127" s="139">
        <f t="shared" si="14"/>
        <v>9200</v>
      </c>
      <c r="F127" s="139">
        <f t="shared" si="14"/>
        <v>11500</v>
      </c>
      <c r="G127" s="139">
        <f t="shared" si="14"/>
        <v>8280</v>
      </c>
      <c r="H127" s="139">
        <f t="shared" si="14"/>
        <v>4830</v>
      </c>
      <c r="I127" s="139">
        <f t="shared" si="14"/>
        <v>45885</v>
      </c>
      <c r="J127" s="139">
        <f t="shared" si="14"/>
        <v>1151575</v>
      </c>
      <c r="K127" s="139">
        <f>SUM(K115:K126)</f>
        <v>218000</v>
      </c>
      <c r="L127" s="139">
        <f>SUM(L115:L126)</f>
        <v>1750000</v>
      </c>
      <c r="M127" s="140"/>
    </row>
    <row r="128" spans="2:13" ht="15.75" thickTop="1" x14ac:dyDescent="0.25"/>
    <row r="129" spans="2:15" ht="23.25" x14ac:dyDescent="0.35">
      <c r="B129" s="131" t="s">
        <v>216</v>
      </c>
      <c r="C129" s="131"/>
      <c r="D129" s="131"/>
    </row>
    <row r="130" spans="2:15" x14ac:dyDescent="0.25">
      <c r="B130" s="174"/>
      <c r="C130" s="318" t="s">
        <v>170</v>
      </c>
      <c r="D130" s="319"/>
      <c r="E130" s="319"/>
      <c r="F130" s="319"/>
      <c r="G130" s="319"/>
      <c r="H130" s="319"/>
      <c r="I130" s="319"/>
      <c r="J130" s="319"/>
      <c r="K130" s="319"/>
      <c r="L130" s="319"/>
      <c r="M130" s="320"/>
      <c r="N130" s="175"/>
      <c r="O130" s="179"/>
    </row>
    <row r="131" spans="2:15" ht="64.5" x14ac:dyDescent="0.25">
      <c r="B131" s="151"/>
      <c r="C131" s="176" t="s">
        <v>135</v>
      </c>
      <c r="D131" s="173" t="s">
        <v>227</v>
      </c>
      <c r="E131" s="173" t="s">
        <v>226</v>
      </c>
      <c r="F131" s="173" t="s">
        <v>144</v>
      </c>
      <c r="G131" s="173" t="s">
        <v>225</v>
      </c>
      <c r="H131" s="173" t="s">
        <v>177</v>
      </c>
      <c r="I131" s="173" t="s">
        <v>145</v>
      </c>
      <c r="J131" s="173" t="s">
        <v>160</v>
      </c>
      <c r="K131" s="177" t="s">
        <v>212</v>
      </c>
      <c r="L131" s="177" t="s">
        <v>213</v>
      </c>
      <c r="M131" s="173" t="s">
        <v>162</v>
      </c>
      <c r="N131" s="154" t="s">
        <v>218</v>
      </c>
      <c r="O131" s="180" t="s">
        <v>147</v>
      </c>
    </row>
    <row r="132" spans="2:15" x14ac:dyDescent="0.25">
      <c r="B132" s="151" t="s">
        <v>31</v>
      </c>
      <c r="C132" s="136">
        <v>23202.080000000002</v>
      </c>
      <c r="D132" s="136">
        <v>9679.16</v>
      </c>
      <c r="E132" s="137">
        <v>19320</v>
      </c>
      <c r="F132" s="137"/>
      <c r="G132" s="137">
        <v>8050</v>
      </c>
      <c r="H132" s="137"/>
      <c r="I132" s="136">
        <v>5836.25</v>
      </c>
      <c r="J132" s="137">
        <v>400000</v>
      </c>
      <c r="K132" s="137">
        <v>2500</v>
      </c>
      <c r="L132" s="137">
        <v>50000</v>
      </c>
      <c r="M132" s="138" t="s">
        <v>214</v>
      </c>
      <c r="N132" s="143">
        <v>10417</v>
      </c>
      <c r="O132" s="156">
        <f t="shared" ref="O132:O143" si="15">SUM(C132:N132)</f>
        <v>529004.49</v>
      </c>
    </row>
    <row r="133" spans="2:15" x14ac:dyDescent="0.25">
      <c r="B133" s="151" t="s">
        <v>33</v>
      </c>
      <c r="C133" s="136">
        <v>23202.080000000002</v>
      </c>
      <c r="D133" s="136">
        <v>9679.16</v>
      </c>
      <c r="E133" s="137">
        <v>19320</v>
      </c>
      <c r="F133" s="137">
        <v>5750</v>
      </c>
      <c r="G133" s="137">
        <v>8050</v>
      </c>
      <c r="H133" s="137"/>
      <c r="I133" s="136">
        <v>5836.25</v>
      </c>
      <c r="J133" s="137"/>
      <c r="K133" s="137"/>
      <c r="L133" s="137">
        <v>2500</v>
      </c>
      <c r="M133" s="138" t="s">
        <v>215</v>
      </c>
      <c r="N133" s="143">
        <v>10417</v>
      </c>
      <c r="O133" s="146">
        <f t="shared" si="15"/>
        <v>84754.49</v>
      </c>
    </row>
    <row r="134" spans="2:15" x14ac:dyDescent="0.25">
      <c r="B134" s="151" t="s">
        <v>34</v>
      </c>
      <c r="C134" s="136">
        <v>23202.080000000002</v>
      </c>
      <c r="D134" s="136">
        <v>9679.16</v>
      </c>
      <c r="E134" s="137">
        <v>19320</v>
      </c>
      <c r="F134" s="137">
        <v>5750</v>
      </c>
      <c r="G134" s="137"/>
      <c r="H134" s="137"/>
      <c r="I134" s="136">
        <v>5836.25</v>
      </c>
      <c r="J134" s="137"/>
      <c r="K134" s="137"/>
      <c r="L134" s="137">
        <v>50000</v>
      </c>
      <c r="M134" s="138"/>
      <c r="N134" s="143">
        <v>10417</v>
      </c>
      <c r="O134" s="146">
        <f t="shared" si="15"/>
        <v>124204.49</v>
      </c>
    </row>
    <row r="135" spans="2:15" x14ac:dyDescent="0.25">
      <c r="B135" s="151" t="s">
        <v>35</v>
      </c>
      <c r="C135" s="136">
        <v>23202.080000000002</v>
      </c>
      <c r="D135" s="136">
        <v>9679.16</v>
      </c>
      <c r="E135" s="137"/>
      <c r="F135" s="137"/>
      <c r="G135" s="137"/>
      <c r="H135" s="137">
        <v>4830</v>
      </c>
      <c r="I135" s="136">
        <v>5836.25</v>
      </c>
      <c r="J135" s="137"/>
      <c r="K135" s="137"/>
      <c r="L135" s="137"/>
      <c r="M135" s="138"/>
      <c r="N135" s="143">
        <v>10417</v>
      </c>
      <c r="O135" s="146">
        <f t="shared" si="15"/>
        <v>53964.490000000005</v>
      </c>
    </row>
    <row r="136" spans="2:15" x14ac:dyDescent="0.25">
      <c r="B136" s="151" t="s">
        <v>36</v>
      </c>
      <c r="C136" s="136">
        <v>23202.080000000002</v>
      </c>
      <c r="D136" s="136">
        <v>9679.16</v>
      </c>
      <c r="E136" s="137"/>
      <c r="G136" s="137"/>
      <c r="H136" s="137"/>
      <c r="I136" s="136">
        <v>5836.25</v>
      </c>
      <c r="J136" s="137"/>
      <c r="K136" s="137"/>
      <c r="L136" s="137">
        <v>50000</v>
      </c>
      <c r="M136" s="138"/>
      <c r="N136" s="143">
        <v>10417</v>
      </c>
      <c r="O136" s="146">
        <f t="shared" si="15"/>
        <v>99134.49</v>
      </c>
    </row>
    <row r="137" spans="2:15" x14ac:dyDescent="0.25">
      <c r="B137" s="151" t="s">
        <v>37</v>
      </c>
      <c r="C137" s="136">
        <v>23202.080000000002</v>
      </c>
      <c r="D137" s="136">
        <v>9679.16</v>
      </c>
      <c r="E137" s="137"/>
      <c r="G137" s="137"/>
      <c r="I137" s="136">
        <v>5836.25</v>
      </c>
      <c r="J137" s="137">
        <v>800000</v>
      </c>
      <c r="K137" s="137">
        <v>15000</v>
      </c>
      <c r="L137" s="137"/>
      <c r="M137" s="138"/>
      <c r="N137" s="143">
        <v>10417</v>
      </c>
      <c r="O137" s="146">
        <f t="shared" si="15"/>
        <v>864134.49</v>
      </c>
    </row>
    <row r="138" spans="2:15" x14ac:dyDescent="0.25">
      <c r="B138" s="151" t="s">
        <v>38</v>
      </c>
      <c r="C138" s="136">
        <v>23202.080000000002</v>
      </c>
      <c r="D138" s="136">
        <v>9679.16</v>
      </c>
      <c r="E138" s="137"/>
      <c r="G138" s="137"/>
      <c r="H138" s="137"/>
      <c r="I138" s="136">
        <v>5836.25</v>
      </c>
      <c r="J138" s="137"/>
      <c r="L138" s="137">
        <v>50000</v>
      </c>
      <c r="M138" s="138"/>
      <c r="N138" s="143">
        <v>10417</v>
      </c>
      <c r="O138" s="146">
        <f t="shared" si="15"/>
        <v>99134.49</v>
      </c>
    </row>
    <row r="139" spans="2:15" x14ac:dyDescent="0.25">
      <c r="B139" s="151" t="s">
        <v>39</v>
      </c>
      <c r="C139" s="136">
        <v>23202.080000000002</v>
      </c>
      <c r="D139" s="136">
        <v>9679.16</v>
      </c>
      <c r="E139" s="217"/>
      <c r="F139" s="137"/>
      <c r="G139" s="137"/>
      <c r="H139" s="137"/>
      <c r="I139" s="136">
        <v>5836.25</v>
      </c>
      <c r="J139" s="137"/>
      <c r="K139" s="137"/>
      <c r="L139" s="137"/>
      <c r="M139" s="138"/>
      <c r="N139" s="143">
        <v>10417</v>
      </c>
      <c r="O139" s="146">
        <f t="shared" si="15"/>
        <v>49134.490000000005</v>
      </c>
    </row>
    <row r="140" spans="2:15" x14ac:dyDescent="0.25">
      <c r="B140" s="151" t="s">
        <v>40</v>
      </c>
      <c r="C140" s="136">
        <v>23202.080000000002</v>
      </c>
      <c r="D140" s="136">
        <v>9679.16</v>
      </c>
      <c r="E140" s="137"/>
      <c r="F140" s="137"/>
      <c r="G140" s="137"/>
      <c r="H140" s="137"/>
      <c r="I140" s="136">
        <v>5836.25</v>
      </c>
      <c r="J140" s="137"/>
      <c r="K140" s="137"/>
      <c r="L140" s="137">
        <v>50000</v>
      </c>
      <c r="M140" s="138"/>
      <c r="N140" s="143">
        <v>10416</v>
      </c>
      <c r="O140" s="146">
        <f t="shared" si="15"/>
        <v>99133.49</v>
      </c>
    </row>
    <row r="141" spans="2:15" x14ac:dyDescent="0.25">
      <c r="B141" s="151" t="s">
        <v>41</v>
      </c>
      <c r="C141" s="136">
        <v>23202.080000000002</v>
      </c>
      <c r="D141" s="136">
        <v>9679.16</v>
      </c>
      <c r="E141" s="137"/>
      <c r="F141" s="137"/>
      <c r="G141" s="137"/>
      <c r="H141" s="137"/>
      <c r="I141" s="136">
        <v>5836.25</v>
      </c>
      <c r="J141" s="137"/>
      <c r="K141" s="137"/>
      <c r="L141" s="137"/>
      <c r="M141" s="138"/>
      <c r="N141" s="143">
        <v>10416</v>
      </c>
      <c r="O141" s="146">
        <f t="shared" si="15"/>
        <v>49133.490000000005</v>
      </c>
    </row>
    <row r="142" spans="2:15" x14ac:dyDescent="0.25">
      <c r="B142" s="151" t="s">
        <v>42</v>
      </c>
      <c r="C142" s="136">
        <v>23202.080000000002</v>
      </c>
      <c r="D142" s="136">
        <v>9679.16</v>
      </c>
      <c r="E142" s="137"/>
      <c r="F142" s="137"/>
      <c r="G142" s="137"/>
      <c r="H142" s="137"/>
      <c r="I142" s="136">
        <v>5836.25</v>
      </c>
      <c r="J142" s="137"/>
      <c r="K142" s="137"/>
      <c r="L142" s="137">
        <v>50000</v>
      </c>
      <c r="M142" s="138"/>
      <c r="N142" s="143">
        <v>10416</v>
      </c>
      <c r="O142" s="146">
        <f t="shared" si="15"/>
        <v>99133.49</v>
      </c>
    </row>
    <row r="143" spans="2:15" x14ac:dyDescent="0.25">
      <c r="B143" s="165" t="s">
        <v>43</v>
      </c>
      <c r="C143" s="136">
        <v>23202.12</v>
      </c>
      <c r="D143" s="136">
        <v>9679.24</v>
      </c>
      <c r="E143" s="137"/>
      <c r="F143" s="137"/>
      <c r="G143" s="137"/>
      <c r="H143" s="137"/>
      <c r="I143" s="136">
        <v>5836.25</v>
      </c>
      <c r="J143" s="137"/>
      <c r="K143" s="137"/>
      <c r="L143" s="137"/>
      <c r="M143" s="138"/>
      <c r="N143" s="143">
        <v>10416</v>
      </c>
      <c r="O143" s="146">
        <f t="shared" si="15"/>
        <v>49133.61</v>
      </c>
    </row>
    <row r="144" spans="2:15" x14ac:dyDescent="0.25">
      <c r="B144" s="163" t="s">
        <v>152</v>
      </c>
      <c r="C144" s="148">
        <f t="shared" ref="C144:L144" si="16">SUM(C132:C143)</f>
        <v>278425.00000000006</v>
      </c>
      <c r="D144" s="148">
        <f t="shared" si="16"/>
        <v>116150.00000000003</v>
      </c>
      <c r="E144" s="148">
        <f t="shared" si="16"/>
        <v>57960</v>
      </c>
      <c r="F144" s="148">
        <f t="shared" si="16"/>
        <v>11500</v>
      </c>
      <c r="G144" s="148">
        <f t="shared" si="16"/>
        <v>16100</v>
      </c>
      <c r="H144" s="148">
        <f t="shared" si="16"/>
        <v>4830</v>
      </c>
      <c r="I144" s="148">
        <f t="shared" si="16"/>
        <v>70035</v>
      </c>
      <c r="J144" s="148">
        <f t="shared" si="16"/>
        <v>1200000</v>
      </c>
      <c r="K144" s="148">
        <f t="shared" si="16"/>
        <v>17500</v>
      </c>
      <c r="L144" s="148">
        <f t="shared" si="16"/>
        <v>302500</v>
      </c>
      <c r="M144" s="204">
        <f>SUM(C144:L144)</f>
        <v>2075000</v>
      </c>
      <c r="N144" s="148">
        <f>SUM(N132:N143)</f>
        <v>125000</v>
      </c>
      <c r="O144" s="178">
        <f>SUM(O132:O143)</f>
        <v>2200000</v>
      </c>
    </row>
    <row r="146" spans="1:13" ht="23.25" x14ac:dyDescent="0.35">
      <c r="A146" s="38" t="s">
        <v>217</v>
      </c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</row>
    <row r="147" spans="1:13" x14ac:dyDescent="0.25">
      <c r="A147" s="140"/>
      <c r="B147" s="140"/>
      <c r="C147" s="140"/>
      <c r="D147" s="140"/>
      <c r="E147" s="140"/>
      <c r="F147" s="140"/>
      <c r="G147" s="140"/>
      <c r="H147" s="140"/>
      <c r="I147" s="140"/>
      <c r="J147" s="140"/>
      <c r="K147" s="140"/>
      <c r="L147" s="140"/>
      <c r="M147" s="140"/>
    </row>
    <row r="148" spans="1:13" ht="39" x14ac:dyDescent="0.25">
      <c r="A148" s="132"/>
      <c r="B148" s="133" t="s">
        <v>135</v>
      </c>
      <c r="C148" s="133" t="s">
        <v>142</v>
      </c>
      <c r="D148" s="133" t="s">
        <v>210</v>
      </c>
      <c r="E148" s="133" t="s">
        <v>144</v>
      </c>
      <c r="F148" s="133" t="s">
        <v>211</v>
      </c>
      <c r="G148" s="133" t="s">
        <v>198</v>
      </c>
      <c r="H148" s="133" t="s">
        <v>145</v>
      </c>
      <c r="I148" s="133" t="s">
        <v>160</v>
      </c>
      <c r="J148" s="133" t="s">
        <v>212</v>
      </c>
      <c r="K148" s="133" t="s">
        <v>213</v>
      </c>
      <c r="L148" s="134" t="s">
        <v>147</v>
      </c>
      <c r="M148" s="133" t="s">
        <v>162</v>
      </c>
    </row>
    <row r="149" spans="1:13" x14ac:dyDescent="0.25">
      <c r="A149" s="135" t="s">
        <v>31</v>
      </c>
      <c r="B149" s="136">
        <v>23202.080000000002</v>
      </c>
      <c r="C149" s="136">
        <v>9679.16</v>
      </c>
      <c r="D149" s="137">
        <v>19320</v>
      </c>
      <c r="E149" s="137"/>
      <c r="F149" s="137">
        <v>8050</v>
      </c>
      <c r="G149" s="137"/>
      <c r="H149" s="136">
        <v>5836.25</v>
      </c>
      <c r="I149" s="137">
        <v>400000</v>
      </c>
      <c r="J149" s="137">
        <v>2500</v>
      </c>
      <c r="K149" s="137">
        <v>50000</v>
      </c>
      <c r="L149" s="130">
        <f t="shared" ref="L149:L160" si="17">SUM(B149:K149)</f>
        <v>518587.49</v>
      </c>
      <c r="M149" s="138" t="s">
        <v>214</v>
      </c>
    </row>
    <row r="150" spans="1:13" x14ac:dyDescent="0.25">
      <c r="A150" s="135" t="s">
        <v>33</v>
      </c>
      <c r="B150" s="136">
        <v>23202.080000000002</v>
      </c>
      <c r="C150" s="136">
        <v>9679.16</v>
      </c>
      <c r="D150" s="137">
        <v>19320</v>
      </c>
      <c r="E150" s="137">
        <v>5750</v>
      </c>
      <c r="F150" s="137">
        <v>8050</v>
      </c>
      <c r="G150" s="137"/>
      <c r="H150" s="136">
        <v>5836.25</v>
      </c>
      <c r="I150" s="137"/>
      <c r="J150" s="137"/>
      <c r="K150" s="137">
        <v>2500</v>
      </c>
      <c r="L150" s="130">
        <f t="shared" si="17"/>
        <v>74337.490000000005</v>
      </c>
      <c r="M150" s="138" t="s">
        <v>215</v>
      </c>
    </row>
    <row r="151" spans="1:13" x14ac:dyDescent="0.25">
      <c r="A151" s="135" t="s">
        <v>34</v>
      </c>
      <c r="B151" s="136">
        <v>23202.080000000002</v>
      </c>
      <c r="C151" s="136">
        <v>9679.16</v>
      </c>
      <c r="D151" s="137">
        <v>19320</v>
      </c>
      <c r="E151" s="137">
        <v>5750</v>
      </c>
      <c r="F151" s="137"/>
      <c r="G151" s="137"/>
      <c r="H151" s="136">
        <v>5836.25</v>
      </c>
      <c r="I151" s="137"/>
      <c r="J151" s="137"/>
      <c r="K151" s="137">
        <v>50000</v>
      </c>
      <c r="L151" s="130">
        <f t="shared" si="17"/>
        <v>113787.49</v>
      </c>
      <c r="M151" s="138"/>
    </row>
    <row r="152" spans="1:13" x14ac:dyDescent="0.25">
      <c r="A152" s="135" t="s">
        <v>35</v>
      </c>
      <c r="B152" s="136">
        <v>23202.080000000002</v>
      </c>
      <c r="C152" s="136">
        <v>9679.16</v>
      </c>
      <c r="D152" s="137"/>
      <c r="E152" s="137"/>
      <c r="F152" s="137"/>
      <c r="G152" s="137">
        <v>4830</v>
      </c>
      <c r="H152" s="136">
        <v>5836.25</v>
      </c>
      <c r="I152" s="137"/>
      <c r="J152" s="137"/>
      <c r="K152" s="137"/>
      <c r="L152" s="130">
        <f t="shared" si="17"/>
        <v>43547.490000000005</v>
      </c>
      <c r="M152" s="138"/>
    </row>
    <row r="153" spans="1:13" x14ac:dyDescent="0.25">
      <c r="A153" s="135" t="s">
        <v>36</v>
      </c>
      <c r="B153" s="136">
        <v>23202.080000000002</v>
      </c>
      <c r="C153" s="136">
        <v>9679.16</v>
      </c>
      <c r="D153" s="137"/>
      <c r="F153" s="137"/>
      <c r="G153" s="137"/>
      <c r="H153" s="136">
        <v>5836.25</v>
      </c>
      <c r="I153" s="137"/>
      <c r="J153" s="137"/>
      <c r="K153" s="137">
        <v>50000</v>
      </c>
      <c r="L153" s="130">
        <f t="shared" si="17"/>
        <v>88717.49</v>
      </c>
      <c r="M153" s="138"/>
    </row>
    <row r="154" spans="1:13" x14ac:dyDescent="0.25">
      <c r="A154" s="135" t="s">
        <v>37</v>
      </c>
      <c r="B154" s="136">
        <v>23202.080000000002</v>
      </c>
      <c r="C154" s="136">
        <v>9679.16</v>
      </c>
      <c r="D154" s="137"/>
      <c r="F154" s="137"/>
      <c r="H154" s="136">
        <v>5836.25</v>
      </c>
      <c r="I154" s="137">
        <v>800000</v>
      </c>
      <c r="J154" s="137">
        <v>15000</v>
      </c>
      <c r="K154" s="137"/>
      <c r="L154" s="130">
        <f t="shared" si="17"/>
        <v>853717.49</v>
      </c>
      <c r="M154" s="138"/>
    </row>
    <row r="155" spans="1:13" x14ac:dyDescent="0.25">
      <c r="A155" s="135" t="s">
        <v>38</v>
      </c>
      <c r="B155" s="136">
        <v>23202.080000000002</v>
      </c>
      <c r="C155" s="136">
        <v>9679.16</v>
      </c>
      <c r="D155" s="137"/>
      <c r="F155" s="137"/>
      <c r="G155" s="137"/>
      <c r="H155" s="136">
        <v>5836.25</v>
      </c>
      <c r="I155" s="137"/>
      <c r="K155" s="137">
        <v>50000</v>
      </c>
      <c r="L155" s="130">
        <f t="shared" si="17"/>
        <v>88717.49</v>
      </c>
      <c r="M155" s="138"/>
    </row>
    <row r="156" spans="1:13" x14ac:dyDescent="0.25">
      <c r="A156" s="135" t="s">
        <v>39</v>
      </c>
      <c r="B156" s="136">
        <v>23202.080000000002</v>
      </c>
      <c r="C156" s="136">
        <v>9679.16</v>
      </c>
      <c r="D156" s="217"/>
      <c r="E156" s="137"/>
      <c r="F156" s="137"/>
      <c r="G156" s="137"/>
      <c r="H156" s="136">
        <v>5836.25</v>
      </c>
      <c r="I156" s="137"/>
      <c r="J156" s="137"/>
      <c r="K156" s="137"/>
      <c r="L156" s="130">
        <f t="shared" si="17"/>
        <v>38717.490000000005</v>
      </c>
      <c r="M156" s="138"/>
    </row>
    <row r="157" spans="1:13" x14ac:dyDescent="0.25">
      <c r="A157" s="135" t="s">
        <v>40</v>
      </c>
      <c r="B157" s="136">
        <v>23202.080000000002</v>
      </c>
      <c r="C157" s="136">
        <v>9679.16</v>
      </c>
      <c r="D157" s="137"/>
      <c r="E157" s="137"/>
      <c r="F157" s="137"/>
      <c r="G157" s="137"/>
      <c r="H157" s="136">
        <v>5836.25</v>
      </c>
      <c r="I157" s="137"/>
      <c r="J157" s="137"/>
      <c r="K157" s="137">
        <v>50000</v>
      </c>
      <c r="L157" s="130">
        <f t="shared" si="17"/>
        <v>88717.49</v>
      </c>
      <c r="M157" s="138"/>
    </row>
    <row r="158" spans="1:13" x14ac:dyDescent="0.25">
      <c r="A158" s="135" t="s">
        <v>41</v>
      </c>
      <c r="B158" s="136">
        <v>23202.080000000002</v>
      </c>
      <c r="C158" s="136">
        <v>9679.16</v>
      </c>
      <c r="D158" s="137"/>
      <c r="E158" s="137"/>
      <c r="F158" s="137"/>
      <c r="G158" s="137"/>
      <c r="H158" s="136">
        <v>5836.25</v>
      </c>
      <c r="I158" s="137"/>
      <c r="J158" s="137"/>
      <c r="K158" s="137"/>
      <c r="L158" s="130">
        <f t="shared" si="17"/>
        <v>38717.490000000005</v>
      </c>
      <c r="M158" s="138"/>
    </row>
    <row r="159" spans="1:13" x14ac:dyDescent="0.25">
      <c r="A159" s="135" t="s">
        <v>42</v>
      </c>
      <c r="B159" s="136">
        <v>23202.080000000002</v>
      </c>
      <c r="C159" s="136">
        <v>9679.16</v>
      </c>
      <c r="D159" s="137"/>
      <c r="E159" s="137"/>
      <c r="F159" s="137"/>
      <c r="G159" s="137"/>
      <c r="H159" s="136">
        <v>5836.25</v>
      </c>
      <c r="I159" s="137"/>
      <c r="J159" s="137"/>
      <c r="K159" s="137">
        <v>50000</v>
      </c>
      <c r="L159" s="130">
        <f t="shared" si="17"/>
        <v>88717.49</v>
      </c>
      <c r="M159" s="138"/>
    </row>
    <row r="160" spans="1:13" x14ac:dyDescent="0.25">
      <c r="A160" s="135" t="s">
        <v>43</v>
      </c>
      <c r="B160" s="136">
        <v>23202.12</v>
      </c>
      <c r="C160" s="136">
        <v>9679.24</v>
      </c>
      <c r="D160" s="137"/>
      <c r="E160" s="137"/>
      <c r="F160" s="137"/>
      <c r="G160" s="137"/>
      <c r="H160" s="136">
        <v>5836.25</v>
      </c>
      <c r="I160" s="137"/>
      <c r="J160" s="137"/>
      <c r="K160" s="137"/>
      <c r="L160" s="130">
        <f t="shared" si="17"/>
        <v>38717.61</v>
      </c>
      <c r="M160" s="138"/>
    </row>
    <row r="161" spans="1:13" ht="15.75" thickBot="1" x14ac:dyDescent="0.3">
      <c r="A161" s="139" t="s">
        <v>152</v>
      </c>
      <c r="B161" s="139">
        <f t="shared" ref="B161:L161" si="18">SUM(B149:B160)</f>
        <v>278425.00000000006</v>
      </c>
      <c r="C161" s="139">
        <f t="shared" si="18"/>
        <v>116150.00000000003</v>
      </c>
      <c r="D161" s="139">
        <f t="shared" si="18"/>
        <v>57960</v>
      </c>
      <c r="E161" s="139">
        <f t="shared" si="18"/>
        <v>11500</v>
      </c>
      <c r="F161" s="139">
        <f t="shared" si="18"/>
        <v>16100</v>
      </c>
      <c r="G161" s="139">
        <f t="shared" si="18"/>
        <v>4830</v>
      </c>
      <c r="H161" s="139">
        <f t="shared" si="18"/>
        <v>70035</v>
      </c>
      <c r="I161" s="139">
        <f t="shared" si="18"/>
        <v>1200000</v>
      </c>
      <c r="J161" s="139">
        <f t="shared" si="18"/>
        <v>17500</v>
      </c>
      <c r="K161" s="139">
        <f t="shared" si="18"/>
        <v>302500</v>
      </c>
      <c r="L161" s="139">
        <f t="shared" si="18"/>
        <v>2075000</v>
      </c>
      <c r="M161" s="140"/>
    </row>
    <row r="162" spans="1:13" ht="15.75" thickTop="1" x14ac:dyDescent="0.25"/>
  </sheetData>
  <mergeCells count="5">
    <mergeCell ref="B54:K54"/>
    <mergeCell ref="B19:J19"/>
    <mergeCell ref="B36:J36"/>
    <mergeCell ref="C74:L74"/>
    <mergeCell ref="C130:M130"/>
  </mergeCells>
  <conditionalFormatting sqref="K55:M68 N55:N57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{CD9AA7AD-2CF7-4FC1-A750-6A12785EBA51}</x14:id>
        </ext>
      </extLst>
    </cfRule>
  </conditionalFormatting>
  <conditionalFormatting sqref="N58:N68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{75E6FC37-119A-45A1-BE94-D193DCC26D33}</x14:id>
        </ext>
      </extLst>
    </cfRule>
  </conditionalFormatting>
  <conditionalFormatting sqref="L75:N88 O75:O77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{B6B596B9-8848-4C14-961D-E6C971DB3367}</x14:id>
        </ext>
      </extLst>
    </cfRule>
  </conditionalFormatting>
  <conditionalFormatting sqref="O78:O88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{56B21CA4-8C23-4E4C-92ED-2F5C6C8EA231}</x14:id>
        </ext>
      </extLst>
    </cfRule>
  </conditionalFormatting>
  <conditionalFormatting sqref="M131:O131 N132:O134 M135:O14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{E559510D-19A2-486B-B47B-68A9890F6878}</x14:id>
        </ext>
      </extLst>
    </cfRule>
  </conditionalFormatting>
  <pageMargins left="0.7" right="0.7" top="0.75" bottom="0.75" header="0.3" footer="0.3"/>
  <pageSetup scale="25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D9AA7AD-2CF7-4FC1-A750-6A12785EBA5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K55:M68 N55:N57</xm:sqref>
        </x14:conditionalFormatting>
        <x14:conditionalFormatting xmlns:xm="http://schemas.microsoft.com/office/excel/2006/main">
          <x14:cfRule type="dataBar" id="{75E6FC37-119A-45A1-BE94-D193DCC26D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N58:N68</xm:sqref>
        </x14:conditionalFormatting>
        <x14:conditionalFormatting xmlns:xm="http://schemas.microsoft.com/office/excel/2006/main">
          <x14:cfRule type="dataBar" id="{B6B596B9-8848-4C14-961D-E6C971DB336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L75:N88 O75:O77</xm:sqref>
        </x14:conditionalFormatting>
        <x14:conditionalFormatting xmlns:xm="http://schemas.microsoft.com/office/excel/2006/main">
          <x14:cfRule type="dataBar" id="{56B21CA4-8C23-4E4C-92ED-2F5C6C8EA23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O78:O88</xm:sqref>
        </x14:conditionalFormatting>
        <x14:conditionalFormatting xmlns:xm="http://schemas.microsoft.com/office/excel/2006/main">
          <x14:cfRule type="dataBar" id="{E559510D-19A2-486B-B47B-68A9890F687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M131:O131 N132:O134 M135:O144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9db1fbf6d4a462e85b53321dd70bf21 xmlns="781a3fa7-2741-4462-991b-a8ad49d80d7a">
      <Terms xmlns="http://schemas.microsoft.com/office/infopath/2007/PartnerControls"/>
    </p9db1fbf6d4a462e85b53321dd70bf21>
    <TaxCatchAll xmlns="781a3fa7-2741-4462-991b-a8ad49d80d7a">
      <Value>13</Value>
      <Value>189</Value>
    </TaxCatchAll>
    <cb89b79bc4474377a7d9eb59d69f2942 xmlns="781a3fa7-2741-4462-991b-a8ad49d80d7a">
      <Terms xmlns="http://schemas.microsoft.com/office/infopath/2007/PartnerControls"/>
    </cb89b79bc4474377a7d9eb59d69f2942>
    <i912cced19c5465f9a4083cd758f73ba xmlns="781a3fa7-2741-4462-991b-a8ad49d80d7a">
      <Terms xmlns="http://schemas.microsoft.com/office/infopath/2007/PartnerControls"/>
    </i912cced19c5465f9a4083cd758f73ba>
    <Month xmlns="781a3fa7-2741-4462-991b-a8ad49d80d7a">June</Month>
    <h684833f0ee84f70853a9baa9faed976 xmlns="781a3fa7-2741-4462-991b-a8ad49d80d7a">
      <Terms xmlns="http://schemas.microsoft.com/office/infopath/2007/PartnerControls"/>
    </h684833f0ee84f70853a9baa9faed976>
    <e3df8eb514b044cc89c2f0aec5f587e5 xmlns="781a3fa7-2741-4462-991b-a8ad49d80d7a">
      <Terms xmlns="http://schemas.microsoft.com/office/infopath/2007/PartnerControls"/>
    </e3df8eb514b044cc89c2f0aec5f587e5>
    <oe43e270f79549fd9a2eddc3d16ba9af xmlns="781a3fa7-2741-4462-991b-a8ad49d80d7a">
      <Terms xmlns="http://schemas.microsoft.com/office/infopath/2007/PartnerControls"/>
    </oe43e270f79549fd9a2eddc3d16ba9af>
    <p60c8690fd0748558b5bc19207affac0 xmlns="781a3fa7-2741-4462-991b-a8ad49d80d7a">
      <Terms xmlns="http://schemas.microsoft.com/office/infopath/2007/PartnerControls"/>
    </p60c8690fd0748558b5bc19207affac0>
    <Document_x0020_Owner xmlns="781a3fa7-2741-4462-991b-a8ad49d80d7a">Lauren Truitt</Document_x0020_Owner>
    <d05f747909394c1dabaffec390879ac3 xmlns="781a3fa7-2741-4462-991b-a8ad49d80d7a">
      <Terms xmlns="http://schemas.microsoft.com/office/infopath/2007/PartnerControls">
        <TermInfo xmlns="http://schemas.microsoft.com/office/infopath/2007/PartnerControls">
          <TermName xmlns="http://schemas.microsoft.com/office/infopath/2007/PartnerControls">Wildlife Council</TermName>
          <TermId xmlns="http://schemas.microsoft.com/office/infopath/2007/PartnerControls">c64930ff-3d52-4721-b88f-fa1e74adf826</TermId>
        </TermInfo>
      </Terms>
    </d05f747909394c1dabaffec390879ac3>
    <m714ef0c47a74fefadb610057146cdb5 xmlns="781a3fa7-2741-4462-991b-a8ad49d80d7a">
      <Terms xmlns="http://schemas.microsoft.com/office/infopath/2007/PartnerControls">
        <TermInfo xmlns="http://schemas.microsoft.com/office/infopath/2007/PartnerControls">
          <TermName xmlns="http://schemas.microsoft.com/office/infopath/2007/PartnerControls">About Us</TermName>
          <TermId xmlns="http://schemas.microsoft.com/office/infopath/2007/PartnerControls">7196126b-3278-4ec2-be34-acf0d69beb63</TermId>
        </TermInfo>
      </Terms>
    </m714ef0c47a74fefadb610057146cdb5>
    <mf423a3eb30941e9a3dfda5123113db9 xmlns="781a3fa7-2741-4462-991b-a8ad49d80d7a">
      <Terms xmlns="http://schemas.microsoft.com/office/infopath/2007/PartnerControls"/>
    </mf423a3eb30941e9a3dfda5123113db9>
    <Doc._x0020_Year xmlns="bfb79f88-60a4-4f2a-a826-4ee4e62a76c4">2022</Doc._x0020_Year>
  </documentManagement>
</p:properties>
</file>

<file path=customXml/item2.xml><?xml version="1.0" encoding="utf-8"?>
<?mso-contentType ?>
<SharedContentType xmlns="Microsoft.SharePoint.Taxonomy.ContentTypeSync" SourceId="45713bbd-1395-420d-a9ee-1d15c8cbc22c" ContentTypeId="0x010100F73D4F3BBC547F4F8F8281012745D169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PW Document" ma:contentTypeID="0x010100FCDEDDC57E949B4C8E21AC4D27473E7C0046D242D38C7E5F428A1B87DA60B69A16" ma:contentTypeVersion="70" ma:contentTypeDescription="" ma:contentTypeScope="" ma:versionID="702787193152aa4f33f60dc7cec8b08d">
  <xsd:schema xmlns:xsd="http://www.w3.org/2001/XMLSchema" xmlns:xs="http://www.w3.org/2001/XMLSchema" xmlns:p="http://schemas.microsoft.com/office/2006/metadata/properties" xmlns:ns2="781a3fa7-2741-4462-991b-a8ad49d80d7a" xmlns:ns3="bfb79f88-60a4-4f2a-a826-4ee4e62a76c4" targetNamespace="http://schemas.microsoft.com/office/2006/metadata/properties" ma:root="true" ma:fieldsID="99e208c6d94133a6355091a0f5625384" ns2:_="" ns3:_="">
    <xsd:import namespace="781a3fa7-2741-4462-991b-a8ad49d80d7a"/>
    <xsd:import namespace="bfb79f88-60a4-4f2a-a826-4ee4e62a76c4"/>
    <xsd:element name="properties">
      <xsd:complexType>
        <xsd:sequence>
          <xsd:element name="documentManagement">
            <xsd:complexType>
              <xsd:all>
                <xsd:element ref="ns2:Document_x0020_Owner" minOccurs="0"/>
                <xsd:element ref="ns2:Month" minOccurs="0"/>
                <xsd:element ref="ns3:Doc._x0020_Year" minOccurs="0"/>
                <xsd:element ref="ns2:cb89b79bc4474377a7d9eb59d69f2942" minOccurs="0"/>
                <xsd:element ref="ns2:oe43e270f79549fd9a2eddc3d16ba9af" minOccurs="0"/>
                <xsd:element ref="ns2:TaxCatchAllLabel" minOccurs="0"/>
                <xsd:element ref="ns2:i912cced19c5465f9a4083cd758f73ba" minOccurs="0"/>
                <xsd:element ref="ns2:TaxCatchAll" minOccurs="0"/>
                <xsd:element ref="ns2:mf423a3eb30941e9a3dfda5123113db9" minOccurs="0"/>
                <xsd:element ref="ns2:p9db1fbf6d4a462e85b53321dd70bf21" minOccurs="0"/>
                <xsd:element ref="ns2:d05f747909394c1dabaffec390879ac3" minOccurs="0"/>
                <xsd:element ref="ns2:h684833f0ee84f70853a9baa9faed976" minOccurs="0"/>
                <xsd:element ref="ns2:m714ef0c47a74fefadb610057146cdb5" minOccurs="0"/>
                <xsd:element ref="ns2:e3df8eb514b044cc89c2f0aec5f587e5" minOccurs="0"/>
                <xsd:element ref="ns2:p60c8690fd0748558b5bc19207affac0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a3fa7-2741-4462-991b-a8ad49d80d7a" elementFormDefault="qualified">
    <xsd:import namespace="http://schemas.microsoft.com/office/2006/documentManagement/types"/>
    <xsd:import namespace="http://schemas.microsoft.com/office/infopath/2007/PartnerControls"/>
    <xsd:element name="Document_x0020_Owner" ma:index="2" nillable="true" ma:displayName="Document Owner" ma:internalName="Document_x0020_Owner" ma:readOnly="false">
      <xsd:simpleType>
        <xsd:restriction base="dms:Text">
          <xsd:maxLength value="255"/>
        </xsd:restriction>
      </xsd:simpleType>
    </xsd:element>
    <xsd:element name="Month" ma:index="15" nillable="true" ma:displayName="Doc. Month" ma:format="Dropdown" ma:internalName="Month" ma:readOnly="false">
      <xsd:simpleType>
        <xsd:restriction base="dms:Choice">
          <xsd:enumeration value="January"/>
          <xsd:enumeration value="February"/>
          <xsd:enumeration value="March"/>
          <xsd:enumeration value="April"/>
          <xsd:enumeration value="May"/>
          <xsd:enumeration value="June"/>
          <xsd:enumeration value="July"/>
          <xsd:enumeration value="August"/>
          <xsd:enumeration value="September"/>
          <xsd:enumeration value="October"/>
          <xsd:enumeration value="November"/>
          <xsd:enumeration value="December"/>
        </xsd:restriction>
      </xsd:simpleType>
    </xsd:element>
    <xsd:element name="cb89b79bc4474377a7d9eb59d69f2942" ma:index="17" nillable="true" ma:taxonomy="true" ma:internalName="cb89b79bc4474377a7d9eb59d69f2942" ma:taxonomyFieldName="Parks" ma:displayName="Parks" ma:readOnly="false" ma:fieldId="{cb89b79b-c447-4377-a7d9-eb59d69f2942}" ma:taxonomyMulti="true" ma:sspId="d31c05a2-9ddf-4c2b-a6c2-a3b5dedf1679" ma:termSetId="a11864d6-7c75-4e49-b5b8-35b7e5281b4e" ma:anchorId="c5f822a9-4988-4619-98af-394c120bfff3" ma:open="false" ma:isKeyword="false">
      <xsd:complexType>
        <xsd:sequence>
          <xsd:element ref="pc:Terms" minOccurs="0" maxOccurs="1"/>
        </xsd:sequence>
      </xsd:complexType>
    </xsd:element>
    <xsd:element name="oe43e270f79549fd9a2eddc3d16ba9af" ma:index="18" nillable="true" ma:taxonomy="true" ma:internalName="oe43e270f79549fd9a2eddc3d16ba9af" ma:taxonomyFieldName="Species_x0020_Status_x0020_Codes" ma:displayName="Species Status Codes" ma:readOnly="false" ma:fieldId="{8e43e270-f795-49fd-9a2e-ddc3d16ba9af}" ma:taxonomyMulti="true" ma:sspId="d31c05a2-9ddf-4c2b-a6c2-a3b5dedf1679" ma:termSetId="a11864d6-7c75-4e49-b5b8-35b7e5281b4e" ma:anchorId="de72c842-4bc6-46e0-90d9-b9a9210f1af0" ma:open="false" ma:isKeyword="false">
      <xsd:complexType>
        <xsd:sequence>
          <xsd:element ref="pc:Terms" minOccurs="0" maxOccurs="1"/>
        </xsd:sequence>
      </xsd:complexType>
    </xsd:element>
    <xsd:element name="TaxCatchAllLabel" ma:index="19" nillable="true" ma:displayName="Taxonomy Catch All Column1" ma:hidden="true" ma:list="{339db315-496c-440a-b9b3-629d0bb9fd05}" ma:internalName="TaxCatchAllLabel" ma:readOnly="true" ma:showField="CatchAllDataLabel" ma:web="781a3fa7-2741-4462-991b-a8ad49d80d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912cced19c5465f9a4083cd758f73ba" ma:index="20" nillable="true" ma:taxonomy="true" ma:internalName="i912cced19c5465f9a4083cd758f73ba" ma:taxonomyFieldName="Species" ma:displayName="Species" ma:readOnly="false" ma:fieldId="{2912cced-19c5-465f-9a40-83cd758f73ba}" ma:taxonomyMulti="true" ma:sspId="d31c05a2-9ddf-4c2b-a6c2-a3b5dedf1679" ma:termSetId="a11864d6-7c75-4e49-b5b8-35b7e5281b4e" ma:anchorId="c317e416-fe15-4f2d-af50-8ffd6ed23d29" ma:open="false" ma:isKeyword="false">
      <xsd:complexType>
        <xsd:sequence>
          <xsd:element ref="pc:Terms" minOccurs="0" maxOccurs="1"/>
        </xsd:sequence>
      </xsd:complexType>
    </xsd:element>
    <xsd:element name="TaxCatchAll" ma:index="21" nillable="true" ma:displayName="Taxonomy Catch All Column" ma:hidden="true" ma:list="{339db315-496c-440a-b9b3-629d0bb9fd05}" ma:internalName="TaxCatchAll" ma:readOnly="false" ma:showField="CatchAllData" ma:web="781a3fa7-2741-4462-991b-a8ad49d80d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f423a3eb30941e9a3dfda5123113db9" ma:index="22" nillable="true" ma:taxonomy="true" ma:internalName="mf423a3eb30941e9a3dfda5123113db9" ma:taxonomyFieldName="Hunting" ma:displayName="Hunting" ma:readOnly="false" ma:fieldId="{6f423a3e-b309-41e9-a3df-da5123113db9}" ma:taxonomyMulti="true" ma:sspId="d31c05a2-9ddf-4c2b-a6c2-a3b5dedf1679" ma:termSetId="a11864d6-7c75-4e49-b5b8-35b7e5281b4e" ma:anchorId="b1571e6c-7784-47ec-994d-462558ac888c" ma:open="false" ma:isKeyword="false">
      <xsd:complexType>
        <xsd:sequence>
          <xsd:element ref="pc:Terms" minOccurs="0" maxOccurs="1"/>
        </xsd:sequence>
      </xsd:complexType>
    </xsd:element>
    <xsd:element name="p9db1fbf6d4a462e85b53321dd70bf21" ma:index="23" nillable="true" ma:taxonomy="true" ma:internalName="p9db1fbf6d4a462e85b53321dd70bf21" ma:taxonomyFieldName="Reservations" ma:displayName="Reservations" ma:readOnly="false" ma:fieldId="{99db1fbf-6d4a-462e-85b5-3321dd70bf21}" ma:taxonomyMulti="true" ma:sspId="d31c05a2-9ddf-4c2b-a6c2-a3b5dedf1679" ma:termSetId="a11864d6-7c75-4e49-b5b8-35b7e5281b4e" ma:anchorId="3eaf3434-d66c-4fb1-8bbe-3cded256bdab" ma:open="false" ma:isKeyword="false">
      <xsd:complexType>
        <xsd:sequence>
          <xsd:element ref="pc:Terms" minOccurs="0" maxOccurs="1"/>
        </xsd:sequence>
      </xsd:complexType>
    </xsd:element>
    <xsd:element name="d05f747909394c1dabaffec390879ac3" ma:index="26" nillable="true" ma:taxonomy="true" ma:internalName="d05f747909394c1dabaffec390879ac3" ma:taxonomyFieldName="Programs" ma:displayName="Programs" ma:readOnly="false" ma:fieldId="{d05f7479-0939-4c1d-abaf-fec390879ac3}" ma:taxonomyMulti="true" ma:sspId="d31c05a2-9ddf-4c2b-a6c2-a3b5dedf1679" ma:termSetId="a11864d6-7c75-4e49-b5b8-35b7e5281b4e" ma:anchorId="843ef525-0f4a-43e6-bd0c-fbcf6a216af3" ma:open="false" ma:isKeyword="false">
      <xsd:complexType>
        <xsd:sequence>
          <xsd:element ref="pc:Terms" minOccurs="0" maxOccurs="1"/>
        </xsd:sequence>
      </xsd:complexType>
    </xsd:element>
    <xsd:element name="h684833f0ee84f70853a9baa9faed976" ma:index="28" nillable="true" ma:taxonomy="true" ma:internalName="h684833f0ee84f70853a9baa9faed976" ma:taxonomyFieldName="Field_x0020_of_x0020_Research" ma:displayName="Field of Research" ma:readOnly="false" ma:fieldId="{1684833f-0ee8-4f70-853a-9baa9faed976}" ma:taxonomyMulti="true" ma:sspId="d31c05a2-9ddf-4c2b-a6c2-a3b5dedf1679" ma:termSetId="a11864d6-7c75-4e49-b5b8-35b7e5281b4e" ma:anchorId="5780c1c6-1fab-4219-b30c-32fc6dd2dccf" ma:open="false" ma:isKeyword="false">
      <xsd:complexType>
        <xsd:sequence>
          <xsd:element ref="pc:Terms" minOccurs="0" maxOccurs="1"/>
        </xsd:sequence>
      </xsd:complexType>
    </xsd:element>
    <xsd:element name="m714ef0c47a74fefadb610057146cdb5" ma:index="30" nillable="true" ma:taxonomy="true" ma:internalName="m714ef0c47a74fefadb610057146cdb5" ma:taxonomyFieldName="Zone" ma:displayName="Zone" ma:readOnly="false" ma:fieldId="{6714ef0c-47a7-4fef-adb6-10057146cdb5}" ma:taxonomyMulti="true" ma:sspId="d31c05a2-9ddf-4c2b-a6c2-a3b5dedf1679" ma:termSetId="a11864d6-7c75-4e49-b5b8-35b7e5281b4e" ma:anchorId="77b9ef76-7fda-4ac5-a76c-f04230ef5b09" ma:open="false" ma:isKeyword="false">
      <xsd:complexType>
        <xsd:sequence>
          <xsd:element ref="pc:Terms" minOccurs="0" maxOccurs="1"/>
        </xsd:sequence>
      </xsd:complexType>
    </xsd:element>
    <xsd:element name="e3df8eb514b044cc89c2f0aec5f587e5" ma:index="31" nillable="true" ma:taxonomy="true" ma:internalName="e3df8eb514b044cc89c2f0aec5f587e5" ma:taxonomyFieldName="Activity" ma:displayName="Activity" ma:readOnly="false" ma:fieldId="{e3df8eb5-14b0-44cc-89c2-f0aec5f587e5}" ma:taxonomyMulti="true" ma:sspId="d31c05a2-9ddf-4c2b-a6c2-a3b5dedf1679" ma:termSetId="a11864d6-7c75-4e49-b5b8-35b7e5281b4e" ma:anchorId="d14a457f-63d0-4be2-9008-60de9fab1d4e" ma:open="false" ma:isKeyword="false">
      <xsd:complexType>
        <xsd:sequence>
          <xsd:element ref="pc:Terms" minOccurs="0" maxOccurs="1"/>
        </xsd:sequence>
      </xsd:complexType>
    </xsd:element>
    <xsd:element name="p60c8690fd0748558b5bc19207affac0" ma:index="32" nillable="true" ma:taxonomy="true" ma:internalName="p60c8690fd0748558b5bc19207affac0" ma:taxonomyFieldName="Policy" ma:displayName="Policy" ma:readOnly="false" ma:fieldId="{960c8690-fd07-4855-8b5b-c19207affac0}" ma:taxonomyMulti="true" ma:sspId="d31c05a2-9ddf-4c2b-a6c2-a3b5dedf1679" ma:termSetId="a11864d6-7c75-4e49-b5b8-35b7e5281b4e" ma:anchorId="da2ad691-f17b-4a63-8792-177b7cd0268c" ma:open="false" ma:isKeyword="false">
      <xsd:complexType>
        <xsd:sequence>
          <xsd:element ref="pc:Terms" minOccurs="0" maxOccurs="1"/>
        </xsd:sequence>
      </xsd:complexType>
    </xsd:element>
    <xsd:element name="SharedWithUsers" ma:index="3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b79f88-60a4-4f2a-a826-4ee4e62a76c4" elementFormDefault="qualified">
    <xsd:import namespace="http://schemas.microsoft.com/office/2006/documentManagement/types"/>
    <xsd:import namespace="http://schemas.microsoft.com/office/infopath/2007/PartnerControls"/>
    <xsd:element name="Doc._x0020_Year" ma:index="16" nillable="true" ma:displayName="Doc. Year" ma:internalName="Doc_x002e__x0020_Year" ma:readOnly="false">
      <xsd:simpleType>
        <xsd:restriction base="dms:Text">
          <xsd:maxLength value="4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33CB09-7A0F-4D34-80CF-E84C1F9C51E8}"/>
</file>

<file path=customXml/itemProps2.xml><?xml version="1.0" encoding="utf-8"?>
<ds:datastoreItem xmlns:ds="http://schemas.openxmlformats.org/officeDocument/2006/customXml" ds:itemID="{13977304-90E5-421A-AC0A-1D40E19B48E6}"/>
</file>

<file path=customXml/itemProps3.xml><?xml version="1.0" encoding="utf-8"?>
<ds:datastoreItem xmlns:ds="http://schemas.openxmlformats.org/officeDocument/2006/customXml" ds:itemID="{D99C0A49-9868-4758-9191-6FE06ECBDE13}"/>
</file>

<file path=customXml/itemProps4.xml><?xml version="1.0" encoding="utf-8"?>
<ds:datastoreItem xmlns:ds="http://schemas.openxmlformats.org/officeDocument/2006/customXml" ds:itemID="{DA452F71-6935-4A4C-B843-3E611B86D2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Fund Balance Start</vt:lpstr>
      <vt:lpstr>Preparation Directions</vt:lpstr>
      <vt:lpstr>Rev Projections</vt:lpstr>
      <vt:lpstr>Expense Scenarios</vt:lpstr>
      <vt:lpstr>Available to Spend FY19</vt:lpstr>
      <vt:lpstr>Available to Spend FY20</vt:lpstr>
      <vt:lpstr>Available to Spend FY21</vt:lpstr>
      <vt:lpstr>Available to Spend FY22</vt:lpstr>
      <vt:lpstr>R&amp;R Revenue Projections </vt:lpstr>
      <vt:lpstr>FY20 Estimated Expenditures</vt:lpstr>
      <vt:lpstr>FY21 Estimated Expenditures</vt:lpstr>
      <vt:lpstr>FY22 Estimated Expenditures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June 2022 Colorado Wildlife Council Treasurer Report</dc:title>
  <dc:creator>Eric Coe</dc:creator>
  <cp:lastModifiedBy>Sednek, Virginia</cp:lastModifiedBy>
  <cp:lastPrinted>2021-04-06T20:36:07Z</cp:lastPrinted>
  <dcterms:created xsi:type="dcterms:W3CDTF">2011-04-21T16:47:26Z</dcterms:created>
  <dcterms:modified xsi:type="dcterms:W3CDTF">2022-03-23T17:42:34Z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0x010100FCDEDDC57E949B4C8E21AC4D27473E7C0046D242D38C7E5F428A1B87DA60B69A16</vt:lpwstr>
  </property>
  <property fmtid="{D5CDD505-2E9C-101B-9397-08002B2CF9AE}" pid="3" name="Species Status Codes">
    <vt:lpwstr/>
  </property>
  <property fmtid="{D5CDD505-2E9C-101B-9397-08002B2CF9AE}" pid="4" name="Parks">
    <vt:lpwstr/>
  </property>
  <property fmtid="{D5CDD505-2E9C-101B-9397-08002B2CF9AE}" pid="5" name="Programs">
    <vt:lpwstr>189;#Wildlife Council|c64930ff-3d52-4721-b88f-fa1e74adf826</vt:lpwstr>
  </property>
  <property fmtid="{D5CDD505-2E9C-101B-9397-08002B2CF9AE}" pid="6" name="Activity">
    <vt:lpwstr/>
  </property>
  <property fmtid="{D5CDD505-2E9C-101B-9397-08002B2CF9AE}" pid="7" name="Field of Research">
    <vt:lpwstr/>
  </property>
  <property fmtid="{D5CDD505-2E9C-101B-9397-08002B2CF9AE}" pid="8" name="Reservations">
    <vt:lpwstr/>
  </property>
  <property fmtid="{D5CDD505-2E9C-101B-9397-08002B2CF9AE}" pid="9" name="Policy">
    <vt:lpwstr/>
  </property>
  <property fmtid="{D5CDD505-2E9C-101B-9397-08002B2CF9AE}" pid="10" name="Zone">
    <vt:lpwstr>13;#About Us|7196126b-3278-4ec2-be34-acf0d69beb63</vt:lpwstr>
  </property>
  <property fmtid="{D5CDD505-2E9C-101B-9397-08002B2CF9AE}" pid="11" name="Hunting">
    <vt:lpwstr/>
  </property>
  <property fmtid="{D5CDD505-2E9C-101B-9397-08002B2CF9AE}" pid="12" name="Species">
    <vt:lpwstr/>
  </property>
</Properties>
</file>